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9"/>
  <workbookPr codeName="ThisWorkbook" defaultThemeVersion="124226"/>
  <mc:AlternateContent xmlns:mc="http://schemas.openxmlformats.org/markup-compatibility/2006">
    <mc:Choice Requires="x15">
      <x15ac:absPath xmlns:x15ac="http://schemas.microsoft.com/office/spreadsheetml/2010/11/ac" url="\\uba\gruppen\IV1.2\Doc\5-Fachthemen\Antifouling\Emissionsszenarien\18_10_DE Freshwater Scenario\20_06_18_Hintergrund_Factsheet_Tool_Final in GG\German scenario for inland water marinas_data_1.0\"/>
    </mc:Choice>
  </mc:AlternateContent>
  <xr:revisionPtr revIDLastSave="0" documentId="13_ncr:1_{7942C62F-AA0F-4B15-98BE-E9558FC4C219}" xr6:coauthVersionLast="36" xr6:coauthVersionMax="36" xr10:uidLastSave="{00000000-0000-0000-0000-000000000000}"/>
  <bookViews>
    <workbookView xWindow="0" yWindow="0" windowWidth="28800" windowHeight="13875" tabRatio="862" xr2:uid="{00000000-000D-0000-FFFF-FFFF00000000}"/>
  </bookViews>
  <sheets>
    <sheet name=" Introduction" sheetId="1" r:id="rId1"/>
    <sheet name="Instructions" sheetId="2" r:id="rId2"/>
    <sheet name="C_User_Input" sheetId="10" r:id="rId3"/>
    <sheet name="P_User_Input" sheetId="38" r:id="rId4"/>
    <sheet name="C+P_Output_Summary" sheetId="20" r:id="rId5"/>
    <sheet name="C_Output_Summary" sheetId="30" r:id="rId6"/>
    <sheet name="P_Output_Summary" sheetId="31" r:id="rId7"/>
    <sheet name="C+P_Output_DE marinas" sheetId="44" r:id="rId8"/>
    <sheet name="C_Output_DE marinas" sheetId="43" r:id="rId9"/>
    <sheet name="P_Output_DE marinas" sheetId="42" r:id="rId10"/>
    <sheet name="C+P_DE Marinas_Scenario_Cal" sheetId="41" r:id="rId11"/>
    <sheet name="C_DE Marinas_Scenario_Calc" sheetId="40" r:id="rId12"/>
    <sheet name="P_DE Marinas_Scenario_Calc" sheetId="39" r:id="rId13"/>
    <sheet name="Copper_Input" sheetId="3" r:id="rId14"/>
    <sheet name="Pyrithione_Input" sheetId="29" r:id="rId15"/>
  </sheets>
  <definedNames>
    <definedName name="Application_Conversion_Factor" localSheetId="11">'C_DE Marinas_Scenario_Calc'!$F$17</definedName>
    <definedName name="Application_Conversion_Factor">'P_DE Marinas_Scenario_Calc'!$F$17</definedName>
    <definedName name="Application_Factor">C_User_Input!$H$7</definedName>
    <definedName name="C_a">C_User_Input!$I$22</definedName>
    <definedName name="C_Average_biocide_release_over_the_lifetime_of_the_paint_C">C_User_Input!$I$30</definedName>
    <definedName name="C_Average_biocide_release_over_the_lifetime_of_the_paint_M">C_User_Input!$H$11</definedName>
    <definedName name="C_Background_Sed_Freshwater">C_User_Input!$C$20</definedName>
    <definedName name="C_Background_SW_Freshwater">C_User_Input!$C$19</definedName>
    <definedName name="C_Compound_Name">Copper_Input!$C$6</definedName>
    <definedName name="C_DFT">C_User_Input!$I$25</definedName>
    <definedName name="C_La">C_User_Input!$I$21</definedName>
    <definedName name="C_Leaching_Conversion_Factor" localSheetId="11">'C_DE Marinas_Scenario_Calc'!$F$11</definedName>
    <definedName name="C_Leaching_Conversion_Factor">#REF!</definedName>
    <definedName name="C_Mrel">C_User_Input!$I$29</definedName>
    <definedName name="C_PNEC_Aquatic_Inside">C_User_Input!$C$12</definedName>
    <definedName name="C_PNEC_Aquatic_Surrounding">C_User_Input!$D$12</definedName>
    <definedName name="C_PNEC_Sediment_Inside">C_User_Input!$C$13</definedName>
    <definedName name="C_PNEC_Sediment_Surrounding">C_User_Input!$D$13</definedName>
    <definedName name="C_t">C_User_Input!$I$27</definedName>
    <definedName name="C_VS">C_User_Input!$I$26</definedName>
    <definedName name="C_ƿ">C_User_Input!$I$24</definedName>
    <definedName name="C_Wa">C_User_Input!$I$23</definedName>
    <definedName name="P_a" localSheetId="3">P_User_Input!$I$22</definedName>
    <definedName name="P_Average_biocide_release_over_the_lifetime_of_the_paint_C">P_User_Input!$I$30</definedName>
    <definedName name="P_Average_biocide_release_over_the_lifetime_of_the_paint_M">P_User_Input!$H$11</definedName>
    <definedName name="P_Background_Sed_Freshwater">P_User_Input!$C$20</definedName>
    <definedName name="P_Background_SW_Freshwater">P_User_Input!$C$20</definedName>
    <definedName name="P_Compound_Name">Pyrithione_Input!$C$6</definedName>
    <definedName name="P_DFT" localSheetId="3">P_User_Input!$I$25</definedName>
    <definedName name="P_La" localSheetId="3">P_User_Input!$I$21</definedName>
    <definedName name="P_Leaching_Conversion_Factor" localSheetId="12">'P_DE Marinas_Scenario_Calc'!$F$11</definedName>
    <definedName name="P_Leaching_Conversion_Factor">#REF!</definedName>
    <definedName name="P_Mrel" localSheetId="3">P_User_Input!$I$29</definedName>
    <definedName name="P_PNEC_Aquatic_Inside">P_User_Input!$C$12</definedName>
    <definedName name="P_PNEC_Aquatic_Surrounding">P_User_Input!$D$12</definedName>
    <definedName name="P_PNEC_Sediment_Inside">P_User_Input!$C$13</definedName>
    <definedName name="P_PNEC_Sediment_Surrounding">P_User_Input!$D$13</definedName>
    <definedName name="P_t" localSheetId="3">P_User_Input!$I$27</definedName>
    <definedName name="P_VS" localSheetId="3">P_User_Input!$I$26</definedName>
    <definedName name="P_ƿ" localSheetId="3">P_User_Input!$I$24</definedName>
    <definedName name="P_Wa" localSheetId="3">P_User_Input!$I$23</definedName>
    <definedName name="Substance">' Introduction'!$B$4</definedName>
    <definedName name="Tooltype">' Introduction'!$B$5</definedName>
    <definedName name="Version">' Introduction'!$B$3</definedName>
    <definedName name="WSA_ConversionFactor" localSheetId="11">'C_DE Marinas_Scenario_Calc'!#REF!</definedName>
    <definedName name="WSA_ConversionFactor">#REF!</definedName>
    <definedName name="WSA_freshwater" localSheetId="11">'C_DE Marinas_Scenario_Calc'!#REF!</definedName>
    <definedName name="WSA_freshwater">#REF!</definedName>
    <definedName name="WSA_OECD_default" localSheetId="11">'C_DE Marinas_Scenario_Calc'!$O$6</definedName>
    <definedName name="WSA_OECD_default">#REF!</definedName>
  </definedNames>
  <calcPr calcId="191029"/>
</workbook>
</file>

<file path=xl/calcChain.xml><?xml version="1.0" encoding="utf-8"?>
<calcChain xmlns="http://schemas.openxmlformats.org/spreadsheetml/2006/main">
  <c r="H7" i="38" l="1"/>
  <c r="B26" i="44" l="1"/>
  <c r="C26" i="44"/>
  <c r="B27" i="44"/>
  <c r="C27" i="44"/>
  <c r="B28" i="44"/>
  <c r="C28" i="44"/>
  <c r="B13" i="44"/>
  <c r="C13" i="44"/>
  <c r="B14" i="44"/>
  <c r="C14" i="44"/>
  <c r="B15" i="44"/>
  <c r="C15" i="44"/>
  <c r="B16" i="44"/>
  <c r="C16" i="44"/>
  <c r="B17" i="44"/>
  <c r="C17" i="44"/>
  <c r="B18" i="44"/>
  <c r="C18" i="44"/>
  <c r="B19" i="44"/>
  <c r="C19" i="44"/>
  <c r="B20" i="44"/>
  <c r="C20" i="44"/>
  <c r="B21" i="44"/>
  <c r="C21" i="44"/>
  <c r="B22" i="44"/>
  <c r="C22" i="44"/>
  <c r="B23" i="44"/>
  <c r="C23" i="44"/>
  <c r="B24" i="44"/>
  <c r="C24" i="44"/>
  <c r="B25" i="44"/>
  <c r="C25" i="44"/>
  <c r="C12" i="44"/>
  <c r="B12" i="44"/>
  <c r="F8" i="44" l="1"/>
  <c r="F7" i="44"/>
  <c r="F6" i="44"/>
  <c r="F5" i="44"/>
  <c r="B3" i="44"/>
  <c r="D28" i="43"/>
  <c r="D27" i="43"/>
  <c r="D26" i="43"/>
  <c r="D25" i="43"/>
  <c r="D24" i="43"/>
  <c r="D23" i="43"/>
  <c r="D22" i="43"/>
  <c r="D21" i="43"/>
  <c r="D20" i="43"/>
  <c r="D19" i="43"/>
  <c r="D18" i="43"/>
  <c r="D17" i="43"/>
  <c r="D16" i="43"/>
  <c r="D15" i="43"/>
  <c r="D14" i="43"/>
  <c r="D13" i="43"/>
  <c r="D12" i="43"/>
  <c r="F8" i="43"/>
  <c r="F7" i="43"/>
  <c r="F6" i="43"/>
  <c r="F5" i="43"/>
  <c r="B3" i="43"/>
  <c r="D28" i="42"/>
  <c r="D27" i="42"/>
  <c r="D26" i="42"/>
  <c r="D25" i="42"/>
  <c r="D24" i="42"/>
  <c r="D23" i="42"/>
  <c r="D22" i="42"/>
  <c r="D21" i="42"/>
  <c r="D20" i="42"/>
  <c r="D19" i="42"/>
  <c r="D18" i="42"/>
  <c r="D17" i="42"/>
  <c r="D16" i="42"/>
  <c r="D15" i="42"/>
  <c r="D14" i="42"/>
  <c r="D13" i="42"/>
  <c r="D12" i="42"/>
  <c r="F8" i="42"/>
  <c r="F7" i="42"/>
  <c r="F6" i="42"/>
  <c r="F5" i="42"/>
  <c r="B3" i="42"/>
  <c r="D23" i="41"/>
  <c r="D28" i="44" s="1"/>
  <c r="D22" i="41"/>
  <c r="D27" i="44" s="1"/>
  <c r="D21" i="41"/>
  <c r="D26" i="44" s="1"/>
  <c r="D20" i="41"/>
  <c r="D25" i="44" s="1"/>
  <c r="D19" i="41"/>
  <c r="D24" i="44" s="1"/>
  <c r="D18" i="41"/>
  <c r="D23" i="44" s="1"/>
  <c r="D17" i="41"/>
  <c r="D22" i="44" s="1"/>
  <c r="D16" i="41"/>
  <c r="D21" i="44" s="1"/>
  <c r="D15" i="41"/>
  <c r="D20" i="44" s="1"/>
  <c r="D14" i="41"/>
  <c r="D19" i="44" s="1"/>
  <c r="D13" i="41"/>
  <c r="D18" i="44" s="1"/>
  <c r="D12" i="41"/>
  <c r="D17" i="44" s="1"/>
  <c r="D11" i="41"/>
  <c r="D16" i="44" s="1"/>
  <c r="D10" i="41"/>
  <c r="D15" i="44" s="1"/>
  <c r="D9" i="41"/>
  <c r="D14" i="44" s="1"/>
  <c r="D8" i="41"/>
  <c r="D13" i="44" s="1"/>
  <c r="D7" i="41"/>
  <c r="D12" i="44" s="1"/>
  <c r="B3" i="41"/>
  <c r="D37" i="40"/>
  <c r="D36" i="40"/>
  <c r="D35" i="40"/>
  <c r="D34" i="40"/>
  <c r="D33" i="40"/>
  <c r="D32" i="40"/>
  <c r="D31" i="40"/>
  <c r="D30" i="40"/>
  <c r="D29" i="40"/>
  <c r="D28" i="40"/>
  <c r="D27" i="40"/>
  <c r="D26" i="40"/>
  <c r="D25" i="40"/>
  <c r="D24" i="40"/>
  <c r="D23" i="40"/>
  <c r="D22" i="40"/>
  <c r="Q21" i="40"/>
  <c r="P21" i="40"/>
  <c r="O21" i="40"/>
  <c r="N21" i="40"/>
  <c r="D21" i="40"/>
  <c r="F16" i="40"/>
  <c r="F17" i="40" s="1"/>
  <c r="F9" i="40"/>
  <c r="F7" i="40"/>
  <c r="B3" i="40"/>
  <c r="D37" i="39"/>
  <c r="D36" i="39"/>
  <c r="D35" i="39"/>
  <c r="D34" i="39"/>
  <c r="D33" i="39"/>
  <c r="D32" i="39"/>
  <c r="D31" i="39"/>
  <c r="D30" i="39"/>
  <c r="D29" i="39"/>
  <c r="D28" i="39"/>
  <c r="D27" i="39"/>
  <c r="D26" i="39"/>
  <c r="D25" i="39"/>
  <c r="D24" i="39"/>
  <c r="D23" i="39"/>
  <c r="D22" i="39"/>
  <c r="Q21" i="39"/>
  <c r="P21" i="39"/>
  <c r="O21" i="39"/>
  <c r="N21" i="39"/>
  <c r="D21" i="39"/>
  <c r="F16" i="39"/>
  <c r="F17" i="39" s="1"/>
  <c r="F9" i="39"/>
  <c r="F7" i="39"/>
  <c r="B3" i="39"/>
  <c r="B6" i="38" l="1"/>
  <c r="B6" i="10" l="1"/>
  <c r="F23" i="31" l="1"/>
  <c r="E23" i="31"/>
  <c r="F19" i="31"/>
  <c r="F18" i="31"/>
  <c r="F17" i="31"/>
  <c r="F16" i="31"/>
  <c r="E12" i="31"/>
  <c r="D7" i="31"/>
  <c r="D6" i="31"/>
  <c r="C4" i="31"/>
  <c r="L3" i="31"/>
  <c r="F23" i="30"/>
  <c r="E23" i="30"/>
  <c r="F19" i="30"/>
  <c r="F18" i="30"/>
  <c r="F17" i="30"/>
  <c r="F16" i="30"/>
  <c r="E12" i="30"/>
  <c r="D7" i="30"/>
  <c r="D6" i="30"/>
  <c r="C4" i="30"/>
  <c r="L3" i="30"/>
  <c r="F31" i="20"/>
  <c r="E31" i="20"/>
  <c r="C29" i="20"/>
  <c r="F26" i="20"/>
  <c r="E26" i="20"/>
  <c r="C24" i="20"/>
  <c r="G21" i="20"/>
  <c r="F21" i="20"/>
  <c r="G20" i="20"/>
  <c r="F20" i="20"/>
  <c r="G19" i="20"/>
  <c r="F19" i="20"/>
  <c r="G18" i="20"/>
  <c r="F18" i="20"/>
  <c r="G17" i="20"/>
  <c r="F17" i="20"/>
  <c r="G13" i="20"/>
  <c r="F13" i="20"/>
  <c r="G12" i="20"/>
  <c r="F12" i="20"/>
  <c r="D7" i="20"/>
  <c r="D6" i="20"/>
  <c r="C4" i="20"/>
  <c r="L3" i="20"/>
  <c r="B3" i="29"/>
  <c r="B3" i="3"/>
  <c r="I29" i="38"/>
  <c r="I30" i="38" s="1"/>
  <c r="B3" i="38"/>
  <c r="I29" i="10"/>
  <c r="I30" i="10" s="1"/>
  <c r="B3" i="10"/>
  <c r="F8" i="40" l="1"/>
  <c r="F10" i="40"/>
  <c r="F11" i="40" s="1"/>
  <c r="F8" i="39"/>
  <c r="F10" i="39"/>
  <c r="F11" i="39" s="1"/>
  <c r="J21" i="39" s="1"/>
  <c r="E13" i="30"/>
  <c r="F14" i="20"/>
  <c r="E13" i="31"/>
  <c r="G14" i="20"/>
  <c r="J22" i="40" l="1"/>
  <c r="L22" i="40"/>
  <c r="T22" i="40" s="1"/>
  <c r="J23" i="40"/>
  <c r="R23" i="40" s="1"/>
  <c r="L23" i="40"/>
  <c r="T23" i="40" s="1"/>
  <c r="J24" i="40"/>
  <c r="R24" i="40" s="1"/>
  <c r="L24" i="40"/>
  <c r="T24" i="40" s="1"/>
  <c r="J25" i="40"/>
  <c r="R25" i="40" s="1"/>
  <c r="L25" i="40"/>
  <c r="T25" i="40" s="1"/>
  <c r="J26" i="40"/>
  <c r="R26" i="40" s="1"/>
  <c r="L26" i="40"/>
  <c r="T26" i="40" s="1"/>
  <c r="J27" i="40"/>
  <c r="R27" i="40" s="1"/>
  <c r="L27" i="40"/>
  <c r="T27" i="40" s="1"/>
  <c r="J28" i="40"/>
  <c r="R28" i="40" s="1"/>
  <c r="L28" i="40"/>
  <c r="T28" i="40" s="1"/>
  <c r="J29" i="40"/>
  <c r="R29" i="40" s="1"/>
  <c r="L29" i="40"/>
  <c r="T29" i="40" s="1"/>
  <c r="J30" i="40"/>
  <c r="R30" i="40" s="1"/>
  <c r="L30" i="40"/>
  <c r="T30" i="40" s="1"/>
  <c r="J31" i="40"/>
  <c r="R31" i="40" s="1"/>
  <c r="L31" i="40"/>
  <c r="T31" i="40" s="1"/>
  <c r="J32" i="40"/>
  <c r="R32" i="40" s="1"/>
  <c r="L32" i="40"/>
  <c r="T32" i="40" s="1"/>
  <c r="J33" i="40"/>
  <c r="R33" i="40" s="1"/>
  <c r="L33" i="40"/>
  <c r="T33" i="40" s="1"/>
  <c r="J34" i="40"/>
  <c r="R34" i="40" s="1"/>
  <c r="L34" i="40"/>
  <c r="T34" i="40" s="1"/>
  <c r="J35" i="40"/>
  <c r="R35" i="40" s="1"/>
  <c r="L35" i="40"/>
  <c r="T35" i="40" s="1"/>
  <c r="J36" i="40"/>
  <c r="R36" i="40" s="1"/>
  <c r="L36" i="40"/>
  <c r="T36" i="40" s="1"/>
  <c r="J37" i="40"/>
  <c r="R37" i="40" s="1"/>
  <c r="L37" i="40"/>
  <c r="T37" i="40" s="1"/>
  <c r="M21" i="40"/>
  <c r="K21" i="40"/>
  <c r="K22" i="40"/>
  <c r="M22" i="40"/>
  <c r="K23" i="40"/>
  <c r="S23" i="40" s="1"/>
  <c r="M23" i="40"/>
  <c r="U23" i="40" s="1"/>
  <c r="K24" i="40"/>
  <c r="S24" i="40" s="1"/>
  <c r="M24" i="40"/>
  <c r="U24" i="40" s="1"/>
  <c r="K25" i="40"/>
  <c r="S25" i="40" s="1"/>
  <c r="M25" i="40"/>
  <c r="U25" i="40" s="1"/>
  <c r="K26" i="40"/>
  <c r="S26" i="40" s="1"/>
  <c r="M26" i="40"/>
  <c r="U26" i="40" s="1"/>
  <c r="K27" i="40"/>
  <c r="S27" i="40" s="1"/>
  <c r="M27" i="40"/>
  <c r="U27" i="40" s="1"/>
  <c r="K28" i="40"/>
  <c r="M28" i="40"/>
  <c r="U28" i="40" s="1"/>
  <c r="K29" i="40"/>
  <c r="S29" i="40" s="1"/>
  <c r="M29" i="40"/>
  <c r="U29" i="40" s="1"/>
  <c r="K30" i="40"/>
  <c r="S30" i="40" s="1"/>
  <c r="M30" i="40"/>
  <c r="U30" i="40" s="1"/>
  <c r="M31" i="40"/>
  <c r="U31" i="40" s="1"/>
  <c r="M32" i="40"/>
  <c r="U32" i="40" s="1"/>
  <c r="M33" i="40"/>
  <c r="U33" i="40" s="1"/>
  <c r="M34" i="40"/>
  <c r="U34" i="40" s="1"/>
  <c r="M35" i="40"/>
  <c r="U35" i="40" s="1"/>
  <c r="M36" i="40"/>
  <c r="U36" i="40" s="1"/>
  <c r="M37" i="40"/>
  <c r="U37" i="40" s="1"/>
  <c r="J21" i="40"/>
  <c r="K31" i="40"/>
  <c r="K32" i="40"/>
  <c r="S32" i="40" s="1"/>
  <c r="K33" i="40"/>
  <c r="K34" i="40"/>
  <c r="S34" i="40" s="1"/>
  <c r="K35" i="40"/>
  <c r="S35" i="40" s="1"/>
  <c r="K36" i="40"/>
  <c r="S36" i="40" s="1"/>
  <c r="K37" i="40"/>
  <c r="L21" i="40"/>
  <c r="L38" i="40" s="1"/>
  <c r="K22" i="39"/>
  <c r="M22" i="39"/>
  <c r="K23" i="39"/>
  <c r="M23" i="39"/>
  <c r="K24" i="39"/>
  <c r="M24" i="39"/>
  <c r="K25" i="39"/>
  <c r="M25" i="39"/>
  <c r="K26" i="39"/>
  <c r="M26" i="39"/>
  <c r="L22" i="39"/>
  <c r="L23" i="39"/>
  <c r="L24" i="39"/>
  <c r="L25" i="39"/>
  <c r="L26" i="39"/>
  <c r="K27" i="39"/>
  <c r="M27" i="39"/>
  <c r="K28" i="39"/>
  <c r="M28" i="39"/>
  <c r="K29" i="39"/>
  <c r="M29" i="39"/>
  <c r="K30" i="39"/>
  <c r="M30" i="39"/>
  <c r="K31" i="39"/>
  <c r="M31" i="39"/>
  <c r="K32" i="39"/>
  <c r="M32" i="39"/>
  <c r="K33" i="39"/>
  <c r="M33" i="39"/>
  <c r="K34" i="39"/>
  <c r="M34" i="39"/>
  <c r="K35" i="39"/>
  <c r="M35" i="39"/>
  <c r="K36" i="39"/>
  <c r="M36" i="39"/>
  <c r="K37" i="39"/>
  <c r="M37" i="39"/>
  <c r="L21" i="39"/>
  <c r="J22" i="39"/>
  <c r="J23" i="39"/>
  <c r="R23" i="39" s="1"/>
  <c r="J24" i="39"/>
  <c r="J25" i="39"/>
  <c r="J26" i="39"/>
  <c r="J27" i="39"/>
  <c r="L27" i="39"/>
  <c r="J28" i="39"/>
  <c r="L28" i="39"/>
  <c r="J29" i="39"/>
  <c r="R29" i="39" s="1"/>
  <c r="L29" i="39"/>
  <c r="J30" i="39"/>
  <c r="L30" i="39"/>
  <c r="J31" i="39"/>
  <c r="L31" i="39"/>
  <c r="J32" i="39"/>
  <c r="L32" i="39"/>
  <c r="J33" i="39"/>
  <c r="L33" i="39"/>
  <c r="J34" i="39"/>
  <c r="L34" i="39"/>
  <c r="J35" i="39"/>
  <c r="R35" i="39" s="1"/>
  <c r="L35" i="39"/>
  <c r="J36" i="39"/>
  <c r="L36" i="39"/>
  <c r="J37" i="39"/>
  <c r="L37" i="39"/>
  <c r="M21" i="39"/>
  <c r="K21" i="39"/>
  <c r="R22" i="40"/>
  <c r="U25" i="39"/>
  <c r="K38" i="39" l="1"/>
  <c r="F29" i="31"/>
  <c r="F29" i="42"/>
  <c r="M38" i="39"/>
  <c r="L38" i="39"/>
  <c r="J38" i="39"/>
  <c r="M38" i="40"/>
  <c r="G29" i="30"/>
  <c r="G29" i="43"/>
  <c r="J38" i="40"/>
  <c r="K38" i="40"/>
  <c r="E55" i="31"/>
  <c r="E28" i="42"/>
  <c r="E54" i="31"/>
  <c r="E27" i="42"/>
  <c r="E53" i="31"/>
  <c r="E26" i="42"/>
  <c r="E52" i="31"/>
  <c r="E25" i="42"/>
  <c r="E51" i="31"/>
  <c r="E24" i="42"/>
  <c r="E50" i="31"/>
  <c r="E23" i="42"/>
  <c r="E49" i="31"/>
  <c r="E22" i="42"/>
  <c r="E48" i="31"/>
  <c r="E21" i="42"/>
  <c r="E47" i="31"/>
  <c r="E20" i="42"/>
  <c r="E46" i="31"/>
  <c r="E19" i="42"/>
  <c r="E45" i="31"/>
  <c r="E18" i="42"/>
  <c r="E43" i="31"/>
  <c r="E16" i="42"/>
  <c r="E41" i="31"/>
  <c r="E14" i="42"/>
  <c r="F55" i="31"/>
  <c r="F28" i="42"/>
  <c r="F54" i="31"/>
  <c r="F27" i="42"/>
  <c r="F53" i="31"/>
  <c r="F26" i="42"/>
  <c r="F52" i="31"/>
  <c r="F25" i="42"/>
  <c r="F51" i="31"/>
  <c r="F24" i="42"/>
  <c r="F50" i="31"/>
  <c r="F23" i="42"/>
  <c r="F49" i="31"/>
  <c r="F22" i="42"/>
  <c r="F48" i="31"/>
  <c r="F21" i="42"/>
  <c r="F47" i="31"/>
  <c r="F20" i="42"/>
  <c r="F46" i="31"/>
  <c r="F19" i="42"/>
  <c r="F45" i="31"/>
  <c r="F18" i="42"/>
  <c r="G43" i="31"/>
  <c r="G16" i="42"/>
  <c r="G41" i="31"/>
  <c r="G14" i="42"/>
  <c r="H44" i="31"/>
  <c r="H17" i="42"/>
  <c r="H43" i="31"/>
  <c r="H16" i="42"/>
  <c r="H42" i="31"/>
  <c r="H15" i="42"/>
  <c r="H41" i="31"/>
  <c r="H14" i="42"/>
  <c r="H40" i="31"/>
  <c r="H13" i="42"/>
  <c r="T23" i="39"/>
  <c r="G62" i="31" s="1"/>
  <c r="R27" i="39"/>
  <c r="E66" i="31" s="1"/>
  <c r="R31" i="39"/>
  <c r="E70" i="31" s="1"/>
  <c r="U23" i="39"/>
  <c r="L14" i="42" s="1"/>
  <c r="G55" i="31"/>
  <c r="G28" i="42"/>
  <c r="G54" i="31"/>
  <c r="G27" i="42"/>
  <c r="G53" i="31"/>
  <c r="G26" i="42"/>
  <c r="G52" i="31"/>
  <c r="G25" i="42"/>
  <c r="G51" i="31"/>
  <c r="G24" i="42"/>
  <c r="G50" i="31"/>
  <c r="G23" i="42"/>
  <c r="G49" i="31"/>
  <c r="G22" i="42"/>
  <c r="G48" i="31"/>
  <c r="G21" i="42"/>
  <c r="G47" i="31"/>
  <c r="G20" i="42"/>
  <c r="G46" i="31"/>
  <c r="G19" i="42"/>
  <c r="G45" i="31"/>
  <c r="G18" i="42"/>
  <c r="E44" i="31"/>
  <c r="E17" i="42"/>
  <c r="E42" i="31"/>
  <c r="E15" i="42"/>
  <c r="E40" i="31"/>
  <c r="E13" i="42"/>
  <c r="H55" i="31"/>
  <c r="H28" i="42"/>
  <c r="H54" i="31"/>
  <c r="H27" i="42"/>
  <c r="H53" i="31"/>
  <c r="H26" i="42"/>
  <c r="H52" i="31"/>
  <c r="H25" i="42"/>
  <c r="H51" i="31"/>
  <c r="H24" i="42"/>
  <c r="H50" i="31"/>
  <c r="H23" i="42"/>
  <c r="H49" i="31"/>
  <c r="H22" i="42"/>
  <c r="H48" i="31"/>
  <c r="H21" i="42"/>
  <c r="H47" i="31"/>
  <c r="H20" i="42"/>
  <c r="H46" i="31"/>
  <c r="H19" i="42"/>
  <c r="H45" i="31"/>
  <c r="H18" i="42"/>
  <c r="G44" i="31"/>
  <c r="G17" i="42"/>
  <c r="G42" i="31"/>
  <c r="G15" i="42"/>
  <c r="G40" i="31"/>
  <c r="G13" i="42"/>
  <c r="F44" i="31"/>
  <c r="F17" i="42"/>
  <c r="F43" i="31"/>
  <c r="F16" i="42"/>
  <c r="F42" i="31"/>
  <c r="F15" i="42"/>
  <c r="F41" i="31"/>
  <c r="F14" i="42"/>
  <c r="F40" i="31"/>
  <c r="F13" i="42"/>
  <c r="R37" i="39"/>
  <c r="E76" i="31" s="1"/>
  <c r="R25" i="39"/>
  <c r="I16" i="42" s="1"/>
  <c r="R33" i="39"/>
  <c r="I24" i="42" s="1"/>
  <c r="T25" i="39"/>
  <c r="G64" i="31" s="1"/>
  <c r="T24" i="39"/>
  <c r="G63" i="31" s="1"/>
  <c r="T33" i="39"/>
  <c r="K24" i="42" s="1"/>
  <c r="T30" i="39"/>
  <c r="K21" i="42" s="1"/>
  <c r="L39" i="40"/>
  <c r="G30" i="43" s="1"/>
  <c r="T27" i="39"/>
  <c r="G66" i="31" s="1"/>
  <c r="T34" i="39"/>
  <c r="G20" i="41" s="1"/>
  <c r="T22" i="39"/>
  <c r="G61" i="31" s="1"/>
  <c r="T26" i="39"/>
  <c r="G65" i="31" s="1"/>
  <c r="T29" i="39"/>
  <c r="G68" i="31" s="1"/>
  <c r="T37" i="39"/>
  <c r="K28" i="42" s="1"/>
  <c r="U28" i="39"/>
  <c r="L19" i="42" s="1"/>
  <c r="T32" i="39"/>
  <c r="G71" i="31" s="1"/>
  <c r="T36" i="39"/>
  <c r="K27" i="42" s="1"/>
  <c r="S22" i="39"/>
  <c r="F61" i="31" s="1"/>
  <c r="S24" i="39"/>
  <c r="F63" i="31" s="1"/>
  <c r="S26" i="39"/>
  <c r="F65" i="31" s="1"/>
  <c r="T28" i="39"/>
  <c r="K19" i="42" s="1"/>
  <c r="T31" i="39"/>
  <c r="K22" i="42" s="1"/>
  <c r="T35" i="39"/>
  <c r="G74" i="31" s="1"/>
  <c r="U30" i="39"/>
  <c r="H16" i="41" s="1"/>
  <c r="U32" i="39"/>
  <c r="L23" i="42" s="1"/>
  <c r="U34" i="39"/>
  <c r="L25" i="42" s="1"/>
  <c r="U36" i="39"/>
  <c r="L27" i="42" s="1"/>
  <c r="R22" i="39"/>
  <c r="E61" i="31" s="1"/>
  <c r="S23" i="39"/>
  <c r="F62" i="31" s="1"/>
  <c r="R24" i="39"/>
  <c r="E63" i="31" s="1"/>
  <c r="S25" i="39"/>
  <c r="F64" i="31" s="1"/>
  <c r="R26" i="39"/>
  <c r="I17" i="42" s="1"/>
  <c r="U27" i="39"/>
  <c r="H66" i="31" s="1"/>
  <c r="U29" i="39"/>
  <c r="L20" i="42" s="1"/>
  <c r="U31" i="39"/>
  <c r="H70" i="31" s="1"/>
  <c r="U33" i="39"/>
  <c r="H72" i="31" s="1"/>
  <c r="U35" i="39"/>
  <c r="H74" i="31" s="1"/>
  <c r="U37" i="39"/>
  <c r="L28" i="42" s="1"/>
  <c r="M39" i="40"/>
  <c r="H30" i="43" s="1"/>
  <c r="U22" i="40"/>
  <c r="H61" i="30" s="1"/>
  <c r="K39" i="40"/>
  <c r="F30" i="30" s="1"/>
  <c r="J39" i="40"/>
  <c r="E30" i="30" s="1"/>
  <c r="F55" i="30"/>
  <c r="F28" i="43"/>
  <c r="F51" i="30"/>
  <c r="F24" i="43"/>
  <c r="F49" i="30"/>
  <c r="F22" i="43"/>
  <c r="H53" i="30"/>
  <c r="H26" i="43"/>
  <c r="H49" i="30"/>
  <c r="H22" i="43"/>
  <c r="F46" i="30"/>
  <c r="F19" i="43"/>
  <c r="S22" i="40"/>
  <c r="F61" i="30" s="1"/>
  <c r="S28" i="40"/>
  <c r="S31" i="40"/>
  <c r="J22" i="43" s="1"/>
  <c r="S33" i="40"/>
  <c r="J24" i="43" s="1"/>
  <c r="S37" i="40"/>
  <c r="J28" i="43" s="1"/>
  <c r="G39" i="30"/>
  <c r="G12" i="43"/>
  <c r="F54" i="30"/>
  <c r="F27" i="43"/>
  <c r="F52" i="30"/>
  <c r="F25" i="43"/>
  <c r="F50" i="30"/>
  <c r="F23" i="43"/>
  <c r="E39" i="30"/>
  <c r="E12" i="43"/>
  <c r="H54" i="30"/>
  <c r="H27" i="43"/>
  <c r="H52" i="30"/>
  <c r="H25" i="43"/>
  <c r="H50" i="30"/>
  <c r="H23" i="43"/>
  <c r="H48" i="30"/>
  <c r="H21" i="43"/>
  <c r="H47" i="30"/>
  <c r="H20" i="43"/>
  <c r="H46" i="30"/>
  <c r="H19" i="43"/>
  <c r="H45" i="30"/>
  <c r="H18" i="43"/>
  <c r="H44" i="30"/>
  <c r="H17" i="43"/>
  <c r="H16" i="43"/>
  <c r="H43" i="30"/>
  <c r="H15" i="43"/>
  <c r="H42" i="30"/>
  <c r="H14" i="43"/>
  <c r="H41" i="30"/>
  <c r="H13" i="43"/>
  <c r="H40" i="30"/>
  <c r="F39" i="30"/>
  <c r="F12" i="43"/>
  <c r="G55" i="30"/>
  <c r="G28" i="43"/>
  <c r="G54" i="30"/>
  <c r="G27" i="43"/>
  <c r="G53" i="30"/>
  <c r="G26" i="43"/>
  <c r="G52" i="30"/>
  <c r="G25" i="43"/>
  <c r="G51" i="30"/>
  <c r="G24" i="43"/>
  <c r="G50" i="30"/>
  <c r="G23" i="43"/>
  <c r="G49" i="30"/>
  <c r="G22" i="43"/>
  <c r="G48" i="30"/>
  <c r="G21" i="43"/>
  <c r="G47" i="30"/>
  <c r="G20" i="43"/>
  <c r="G46" i="30"/>
  <c r="G19" i="43"/>
  <c r="G45" i="30"/>
  <c r="G18" i="43"/>
  <c r="G44" i="30"/>
  <c r="G17" i="43"/>
  <c r="G43" i="30"/>
  <c r="G16" i="43"/>
  <c r="G42" i="30"/>
  <c r="G15" i="43"/>
  <c r="G41" i="30"/>
  <c r="G14" i="43"/>
  <c r="G40" i="30"/>
  <c r="G13" i="43"/>
  <c r="F53" i="30"/>
  <c r="F26" i="43"/>
  <c r="H55" i="30"/>
  <c r="H28" i="43"/>
  <c r="H51" i="30"/>
  <c r="H24" i="43"/>
  <c r="F48" i="30"/>
  <c r="F21" i="43"/>
  <c r="F47" i="30"/>
  <c r="F20" i="43"/>
  <c r="F45" i="30"/>
  <c r="F18" i="43"/>
  <c r="F44" i="30"/>
  <c r="F17" i="43"/>
  <c r="F43" i="30"/>
  <c r="F16" i="43"/>
  <c r="F42" i="30"/>
  <c r="F15" i="43"/>
  <c r="F41" i="30"/>
  <c r="F14" i="43"/>
  <c r="F40" i="30"/>
  <c r="F13" i="43"/>
  <c r="H12" i="43"/>
  <c r="H39" i="30"/>
  <c r="E28" i="43"/>
  <c r="E55" i="30"/>
  <c r="E27" i="43"/>
  <c r="E54" i="30"/>
  <c r="E26" i="43"/>
  <c r="E53" i="30"/>
  <c r="E25" i="43"/>
  <c r="E52" i="30"/>
  <c r="E24" i="43"/>
  <c r="E51" i="30"/>
  <c r="E23" i="43"/>
  <c r="E50" i="30"/>
  <c r="E22" i="43"/>
  <c r="E49" i="30"/>
  <c r="E21" i="43"/>
  <c r="E48" i="30"/>
  <c r="E20" i="43"/>
  <c r="E47" i="30"/>
  <c r="E19" i="43"/>
  <c r="E46" i="30"/>
  <c r="E18" i="43"/>
  <c r="E45" i="30"/>
  <c r="E44" i="30"/>
  <c r="E17" i="43"/>
  <c r="E43" i="30"/>
  <c r="E16" i="43"/>
  <c r="E42" i="30"/>
  <c r="E15" i="43"/>
  <c r="E41" i="30"/>
  <c r="E14" i="43"/>
  <c r="E40" i="30"/>
  <c r="E13" i="43"/>
  <c r="G72" i="31"/>
  <c r="E62" i="31"/>
  <c r="I14" i="42"/>
  <c r="E68" i="31"/>
  <c r="I20" i="42"/>
  <c r="E74" i="31"/>
  <c r="I26" i="42"/>
  <c r="K15" i="42"/>
  <c r="H64" i="31"/>
  <c r="L16" i="42"/>
  <c r="M39" i="39"/>
  <c r="H39" i="31"/>
  <c r="H12" i="42"/>
  <c r="L39" i="39"/>
  <c r="G39" i="31"/>
  <c r="G12" i="42"/>
  <c r="E39" i="31"/>
  <c r="E12" i="42"/>
  <c r="J39" i="39"/>
  <c r="S30" i="39"/>
  <c r="S32" i="39"/>
  <c r="F18" i="41" s="1"/>
  <c r="S34" i="39"/>
  <c r="S36" i="39"/>
  <c r="F22" i="41" s="1"/>
  <c r="U22" i="39"/>
  <c r="U24" i="39"/>
  <c r="H10" i="41" s="1"/>
  <c r="U26" i="39"/>
  <c r="R28" i="39"/>
  <c r="E14" i="41" s="1"/>
  <c r="S27" i="39"/>
  <c r="S28" i="39"/>
  <c r="S29" i="39"/>
  <c r="R30" i="39"/>
  <c r="E16" i="41" s="1"/>
  <c r="S31" i="39"/>
  <c r="R32" i="39"/>
  <c r="E18" i="41" s="1"/>
  <c r="S33" i="39"/>
  <c r="R34" i="39"/>
  <c r="E20" i="41" s="1"/>
  <c r="S35" i="39"/>
  <c r="R36" i="39"/>
  <c r="E22" i="41" s="1"/>
  <c r="S37" i="39"/>
  <c r="K39" i="39"/>
  <c r="F39" i="31"/>
  <c r="F12" i="42"/>
  <c r="J13" i="43"/>
  <c r="F63" i="30"/>
  <c r="J15" i="43"/>
  <c r="F65" i="30"/>
  <c r="J17" i="43"/>
  <c r="F69" i="30"/>
  <c r="J21" i="43"/>
  <c r="F71" i="30"/>
  <c r="J23" i="43"/>
  <c r="F73" i="30"/>
  <c r="J25" i="43"/>
  <c r="F75" i="30"/>
  <c r="J27" i="43"/>
  <c r="H63" i="30"/>
  <c r="L15" i="43"/>
  <c r="H65" i="30"/>
  <c r="L17" i="43"/>
  <c r="H69" i="30"/>
  <c r="L21" i="43"/>
  <c r="H71" i="30"/>
  <c r="L23" i="43"/>
  <c r="H73" i="30"/>
  <c r="L25" i="43"/>
  <c r="H75" i="30"/>
  <c r="L27" i="43"/>
  <c r="E61" i="30"/>
  <c r="I13" i="43"/>
  <c r="F62" i="30"/>
  <c r="J14" i="43"/>
  <c r="E63" i="30"/>
  <c r="I15" i="43"/>
  <c r="F64" i="30"/>
  <c r="J16" i="43"/>
  <c r="E65" i="30"/>
  <c r="I17" i="43"/>
  <c r="F66" i="30"/>
  <c r="J18" i="43"/>
  <c r="F68" i="30"/>
  <c r="J20" i="43"/>
  <c r="E69" i="30"/>
  <c r="I21" i="43"/>
  <c r="E71" i="30"/>
  <c r="I23" i="43"/>
  <c r="E73" i="30"/>
  <c r="I25" i="43"/>
  <c r="F74" i="30"/>
  <c r="J26" i="43"/>
  <c r="E75" i="30"/>
  <c r="I27" i="43"/>
  <c r="G9" i="41"/>
  <c r="G62" i="30"/>
  <c r="K14" i="43"/>
  <c r="G64" i="30"/>
  <c r="K16" i="43"/>
  <c r="G66" i="30"/>
  <c r="K18" i="43"/>
  <c r="G67" i="30"/>
  <c r="K19" i="43"/>
  <c r="G68" i="30"/>
  <c r="K20" i="43"/>
  <c r="G70" i="30"/>
  <c r="K22" i="43"/>
  <c r="G72" i="30"/>
  <c r="K24" i="43"/>
  <c r="G74" i="30"/>
  <c r="K26" i="43"/>
  <c r="G76" i="30"/>
  <c r="K28" i="43"/>
  <c r="E9" i="41"/>
  <c r="I14" i="43"/>
  <c r="E62" i="30"/>
  <c r="I16" i="43"/>
  <c r="E64" i="30"/>
  <c r="I18" i="43"/>
  <c r="E66" i="30"/>
  <c r="I19" i="43"/>
  <c r="E67" i="30"/>
  <c r="E15" i="41"/>
  <c r="I20" i="43"/>
  <c r="E68" i="30"/>
  <c r="I22" i="43"/>
  <c r="E70" i="30"/>
  <c r="I24" i="43"/>
  <c r="E72" i="30"/>
  <c r="E21" i="41"/>
  <c r="I26" i="43"/>
  <c r="E74" i="30"/>
  <c r="I28" i="43"/>
  <c r="E76" i="30"/>
  <c r="G61" i="30"/>
  <c r="K13" i="43"/>
  <c r="H62" i="30"/>
  <c r="L14" i="43"/>
  <c r="G63" i="30"/>
  <c r="K15" i="43"/>
  <c r="H11" i="41"/>
  <c r="H64" i="30"/>
  <c r="L16" i="43"/>
  <c r="G65" i="30"/>
  <c r="K17" i="43"/>
  <c r="H66" i="30"/>
  <c r="L18" i="43"/>
  <c r="H67" i="30"/>
  <c r="L19" i="43"/>
  <c r="H68" i="30"/>
  <c r="L20" i="43"/>
  <c r="G69" i="30"/>
  <c r="K21" i="43"/>
  <c r="H70" i="30"/>
  <c r="L22" i="43"/>
  <c r="G71" i="30"/>
  <c r="K23" i="43"/>
  <c r="H72" i="30"/>
  <c r="L24" i="43"/>
  <c r="G73" i="30"/>
  <c r="K25" i="43"/>
  <c r="H74" i="30"/>
  <c r="L26" i="43"/>
  <c r="G75" i="30"/>
  <c r="K27" i="43"/>
  <c r="H76" i="30"/>
  <c r="L28" i="43"/>
  <c r="J47" i="40"/>
  <c r="J46" i="40"/>
  <c r="J45" i="40"/>
  <c r="J44" i="40"/>
  <c r="J43" i="40"/>
  <c r="J42" i="40"/>
  <c r="J41" i="40"/>
  <c r="J40" i="40"/>
  <c r="R21" i="40"/>
  <c r="R38" i="40" s="1"/>
  <c r="M47" i="40"/>
  <c r="M46" i="40"/>
  <c r="M45" i="40"/>
  <c r="M44" i="40"/>
  <c r="M43" i="40"/>
  <c r="M42" i="40"/>
  <c r="M41" i="40"/>
  <c r="M40" i="40"/>
  <c r="U21" i="40"/>
  <c r="L47" i="40"/>
  <c r="L46" i="40"/>
  <c r="L45" i="40"/>
  <c r="L44" i="40"/>
  <c r="L43" i="40"/>
  <c r="L42" i="40"/>
  <c r="L41" i="40"/>
  <c r="L40" i="40"/>
  <c r="T21" i="40"/>
  <c r="T38" i="40" s="1"/>
  <c r="K47" i="40"/>
  <c r="K46" i="40"/>
  <c r="K45" i="40"/>
  <c r="K44" i="40"/>
  <c r="K43" i="40"/>
  <c r="K42" i="40"/>
  <c r="K41" i="40"/>
  <c r="K40" i="40"/>
  <c r="S21" i="40"/>
  <c r="J47" i="39"/>
  <c r="J46" i="39"/>
  <c r="J45" i="39"/>
  <c r="J44" i="39"/>
  <c r="J43" i="39"/>
  <c r="J42" i="39"/>
  <c r="J41" i="39"/>
  <c r="J40" i="39"/>
  <c r="R21" i="39"/>
  <c r="M47" i="39"/>
  <c r="M46" i="39"/>
  <c r="M45" i="39"/>
  <c r="M44" i="39"/>
  <c r="M43" i="39"/>
  <c r="M42" i="39"/>
  <c r="M41" i="39"/>
  <c r="M40" i="39"/>
  <c r="U21" i="39"/>
  <c r="L47" i="39"/>
  <c r="L46" i="39"/>
  <c r="L45" i="39"/>
  <c r="L44" i="39"/>
  <c r="L43" i="39"/>
  <c r="L42" i="39"/>
  <c r="L41" i="39"/>
  <c r="L40" i="39"/>
  <c r="T21" i="39"/>
  <c r="K47" i="39"/>
  <c r="K46" i="39"/>
  <c r="K45" i="39"/>
  <c r="K44" i="39"/>
  <c r="K43" i="39"/>
  <c r="K42" i="39"/>
  <c r="K41" i="39"/>
  <c r="K40" i="39"/>
  <c r="S21" i="39"/>
  <c r="F70" i="30" l="1"/>
  <c r="G22" i="41"/>
  <c r="G27" i="44" s="1"/>
  <c r="E23" i="41"/>
  <c r="E28" i="44" s="1"/>
  <c r="E17" i="41"/>
  <c r="E22" i="44" s="1"/>
  <c r="I22" i="42"/>
  <c r="K18" i="42"/>
  <c r="G15" i="41"/>
  <c r="G56" i="20" s="1"/>
  <c r="J14" i="42"/>
  <c r="G75" i="31"/>
  <c r="I28" i="42"/>
  <c r="K14" i="42"/>
  <c r="E11" i="41"/>
  <c r="E16" i="44" s="1"/>
  <c r="G19" i="41"/>
  <c r="G60" i="20" s="1"/>
  <c r="H20" i="41"/>
  <c r="H25" i="44" s="1"/>
  <c r="I18" i="42"/>
  <c r="S38" i="39"/>
  <c r="J29" i="42" s="1"/>
  <c r="U38" i="39"/>
  <c r="L29" i="31" s="1"/>
  <c r="H9" i="41"/>
  <c r="H50" i="20" s="1"/>
  <c r="L24" i="42"/>
  <c r="H62" i="31"/>
  <c r="E64" i="31"/>
  <c r="J29" i="31"/>
  <c r="L29" i="42"/>
  <c r="G29" i="31"/>
  <c r="G29" i="42"/>
  <c r="T38" i="39"/>
  <c r="R38" i="39"/>
  <c r="E13" i="41"/>
  <c r="E18" i="44" s="1"/>
  <c r="J17" i="42"/>
  <c r="E29" i="31"/>
  <c r="E29" i="42"/>
  <c r="H29" i="31"/>
  <c r="H29" i="42"/>
  <c r="F30" i="43"/>
  <c r="K29" i="30"/>
  <c r="K29" i="43"/>
  <c r="U38" i="40"/>
  <c r="E29" i="30"/>
  <c r="E29" i="43"/>
  <c r="I29" i="30"/>
  <c r="I29" i="43"/>
  <c r="F29" i="30"/>
  <c r="F29" i="43"/>
  <c r="H29" i="30"/>
  <c r="H29" i="43"/>
  <c r="S38" i="40"/>
  <c r="G16" i="41"/>
  <c r="G57" i="20" s="1"/>
  <c r="G10" i="41"/>
  <c r="G51" i="20" s="1"/>
  <c r="G8" i="41"/>
  <c r="G49" i="20" s="1"/>
  <c r="G13" i="41"/>
  <c r="G18" i="44" s="1"/>
  <c r="H71" i="31"/>
  <c r="K20" i="42"/>
  <c r="F76" i="30"/>
  <c r="G69" i="31"/>
  <c r="E72" i="31"/>
  <c r="E19" i="41"/>
  <c r="E24" i="44" s="1"/>
  <c r="F8" i="41"/>
  <c r="F49" i="20" s="1"/>
  <c r="K13" i="42"/>
  <c r="G11" i="41"/>
  <c r="G16" i="44" s="1"/>
  <c r="G73" i="31"/>
  <c r="H67" i="31"/>
  <c r="K26" i="42"/>
  <c r="G12" i="41"/>
  <c r="G17" i="44" s="1"/>
  <c r="E12" i="41"/>
  <c r="E17" i="44" s="1"/>
  <c r="E65" i="31"/>
  <c r="K16" i="42"/>
  <c r="F12" i="41"/>
  <c r="F53" i="20" s="1"/>
  <c r="E8" i="41"/>
  <c r="E13" i="44" s="1"/>
  <c r="L13" i="43"/>
  <c r="L21" i="42"/>
  <c r="K23" i="42"/>
  <c r="G30" i="30"/>
  <c r="G18" i="41"/>
  <c r="G23" i="44" s="1"/>
  <c r="I13" i="42"/>
  <c r="H69" i="31"/>
  <c r="K17" i="42"/>
  <c r="H19" i="41"/>
  <c r="H24" i="44" s="1"/>
  <c r="H15" i="41"/>
  <c r="H56" i="20" s="1"/>
  <c r="F72" i="30"/>
  <c r="H73" i="31"/>
  <c r="J13" i="42"/>
  <c r="K25" i="42"/>
  <c r="G76" i="31"/>
  <c r="G70" i="31"/>
  <c r="H30" i="30"/>
  <c r="H23" i="41"/>
  <c r="H28" i="44" s="1"/>
  <c r="G23" i="41"/>
  <c r="G28" i="44" s="1"/>
  <c r="G17" i="41"/>
  <c r="G58" i="20" s="1"/>
  <c r="I15" i="42"/>
  <c r="J15" i="42"/>
  <c r="H76" i="31"/>
  <c r="H14" i="41"/>
  <c r="H19" i="44" s="1"/>
  <c r="E10" i="41"/>
  <c r="E15" i="44" s="1"/>
  <c r="F10" i="41"/>
  <c r="F15" i="44" s="1"/>
  <c r="H68" i="31"/>
  <c r="J16" i="42"/>
  <c r="H75" i="31"/>
  <c r="G67" i="31"/>
  <c r="L26" i="42"/>
  <c r="L22" i="42"/>
  <c r="L18" i="42"/>
  <c r="H21" i="41"/>
  <c r="H26" i="44" s="1"/>
  <c r="H17" i="41"/>
  <c r="H58" i="20" s="1"/>
  <c r="H13" i="41"/>
  <c r="H54" i="20" s="1"/>
  <c r="G21" i="41"/>
  <c r="G62" i="20" s="1"/>
  <c r="G14" i="41"/>
  <c r="G55" i="20" s="1"/>
  <c r="F11" i="41"/>
  <c r="F16" i="44" s="1"/>
  <c r="F9" i="41"/>
  <c r="F14" i="44" s="1"/>
  <c r="H22" i="41"/>
  <c r="H27" i="44" s="1"/>
  <c r="H18" i="41"/>
  <c r="H59" i="20" s="1"/>
  <c r="F14" i="41"/>
  <c r="F55" i="20" s="1"/>
  <c r="E30" i="43"/>
  <c r="F67" i="30"/>
  <c r="G63" i="20"/>
  <c r="G61" i="20"/>
  <c r="G25" i="44"/>
  <c r="G13" i="44"/>
  <c r="E62" i="20"/>
  <c r="E26" i="44"/>
  <c r="E55" i="20"/>
  <c r="E19" i="44"/>
  <c r="E52" i="20"/>
  <c r="G24" i="44"/>
  <c r="G20" i="44"/>
  <c r="G50" i="20"/>
  <c r="G14" i="44"/>
  <c r="E61" i="20"/>
  <c r="E25" i="44"/>
  <c r="E57" i="20"/>
  <c r="E21" i="44"/>
  <c r="H57" i="20"/>
  <c r="H21" i="44"/>
  <c r="F63" i="20"/>
  <c r="F27" i="44"/>
  <c r="H52" i="20"/>
  <c r="H16" i="44"/>
  <c r="E64" i="20"/>
  <c r="E56" i="20"/>
  <c r="E20" i="44"/>
  <c r="E50" i="20"/>
  <c r="E14" i="44"/>
  <c r="E63" i="20"/>
  <c r="E27" i="44"/>
  <c r="E59" i="20"/>
  <c r="E23" i="44"/>
  <c r="J19" i="43"/>
  <c r="H51" i="20"/>
  <c r="H15" i="44"/>
  <c r="F59" i="20"/>
  <c r="F23" i="44"/>
  <c r="F31" i="42"/>
  <c r="F31" i="31"/>
  <c r="T39" i="39"/>
  <c r="K12" i="42"/>
  <c r="G60" i="31"/>
  <c r="G32" i="42"/>
  <c r="G32" i="31"/>
  <c r="H31" i="42"/>
  <c r="H31" i="31"/>
  <c r="R39" i="39"/>
  <c r="E60" i="31"/>
  <c r="I12" i="42"/>
  <c r="E32" i="42"/>
  <c r="E32" i="31"/>
  <c r="J28" i="42"/>
  <c r="F76" i="31"/>
  <c r="J26" i="42"/>
  <c r="F74" i="31"/>
  <c r="J24" i="42"/>
  <c r="F72" i="31"/>
  <c r="J22" i="42"/>
  <c r="F70" i="31"/>
  <c r="J20" i="42"/>
  <c r="F68" i="31"/>
  <c r="J18" i="42"/>
  <c r="F66" i="31"/>
  <c r="H65" i="31"/>
  <c r="L17" i="42"/>
  <c r="L13" i="42"/>
  <c r="H61" i="31"/>
  <c r="J25" i="42"/>
  <c r="F73" i="31"/>
  <c r="J21" i="42"/>
  <c r="F69" i="31"/>
  <c r="G30" i="42"/>
  <c r="G30" i="31"/>
  <c r="S39" i="39"/>
  <c r="F60" i="31"/>
  <c r="J12" i="42"/>
  <c r="F32" i="42"/>
  <c r="F32" i="31"/>
  <c r="G31" i="42"/>
  <c r="G31" i="31"/>
  <c r="U39" i="39"/>
  <c r="H60" i="31"/>
  <c r="L12" i="42"/>
  <c r="H32" i="42"/>
  <c r="H32" i="31"/>
  <c r="E31" i="42"/>
  <c r="E31" i="31"/>
  <c r="F23" i="41"/>
  <c r="F21" i="41"/>
  <c r="F19" i="41"/>
  <c r="F17" i="41"/>
  <c r="F15" i="41"/>
  <c r="F13" i="41"/>
  <c r="H12" i="41"/>
  <c r="H8" i="41"/>
  <c r="F20" i="41"/>
  <c r="F16" i="41"/>
  <c r="F30" i="42"/>
  <c r="F30" i="31"/>
  <c r="E75" i="31"/>
  <c r="I27" i="42"/>
  <c r="E73" i="31"/>
  <c r="I25" i="42"/>
  <c r="E71" i="31"/>
  <c r="I23" i="42"/>
  <c r="E69" i="31"/>
  <c r="I21" i="42"/>
  <c r="J19" i="42"/>
  <c r="F67" i="31"/>
  <c r="E67" i="31"/>
  <c r="I19" i="42"/>
  <c r="H63" i="31"/>
  <c r="L15" i="42"/>
  <c r="J27" i="42"/>
  <c r="F75" i="31"/>
  <c r="J23" i="42"/>
  <c r="F71" i="31"/>
  <c r="E30" i="42"/>
  <c r="E30" i="31"/>
  <c r="H30" i="42"/>
  <c r="H30" i="31"/>
  <c r="S39" i="40"/>
  <c r="F7" i="41"/>
  <c r="F60" i="30"/>
  <c r="J12" i="43"/>
  <c r="F32" i="43"/>
  <c r="F32" i="30"/>
  <c r="G31" i="43"/>
  <c r="G31" i="30"/>
  <c r="U39" i="40"/>
  <c r="H7" i="41"/>
  <c r="H60" i="30"/>
  <c r="L12" i="43"/>
  <c r="H32" i="43"/>
  <c r="H32" i="30"/>
  <c r="E31" i="43"/>
  <c r="E31" i="30"/>
  <c r="F31" i="43"/>
  <c r="F31" i="30"/>
  <c r="T39" i="40"/>
  <c r="G7" i="41"/>
  <c r="G60" i="30"/>
  <c r="K12" i="43"/>
  <c r="G32" i="43"/>
  <c r="G32" i="30"/>
  <c r="H31" i="43"/>
  <c r="H31" i="30"/>
  <c r="R39" i="40"/>
  <c r="E7" i="41"/>
  <c r="E60" i="30"/>
  <c r="I12" i="43"/>
  <c r="E32" i="43"/>
  <c r="E32" i="30"/>
  <c r="S47" i="40"/>
  <c r="S46" i="40"/>
  <c r="S45" i="40"/>
  <c r="S44" i="40"/>
  <c r="S43" i="40"/>
  <c r="S42" i="40"/>
  <c r="S41" i="40"/>
  <c r="S40" i="40"/>
  <c r="U47" i="40"/>
  <c r="U46" i="40"/>
  <c r="U45" i="40"/>
  <c r="U44" i="40"/>
  <c r="U43" i="40"/>
  <c r="U42" i="40"/>
  <c r="U41" i="40"/>
  <c r="U40" i="40"/>
  <c r="T47" i="40"/>
  <c r="T46" i="40"/>
  <c r="T45" i="40"/>
  <c r="T44" i="40"/>
  <c r="T43" i="40"/>
  <c r="T42" i="40"/>
  <c r="T41" i="40"/>
  <c r="T40" i="40"/>
  <c r="R47" i="40"/>
  <c r="R46" i="40"/>
  <c r="R45" i="40"/>
  <c r="R44" i="40"/>
  <c r="R43" i="40"/>
  <c r="R42" i="40"/>
  <c r="R41" i="40"/>
  <c r="R40" i="40"/>
  <c r="S47" i="39"/>
  <c r="S46" i="39"/>
  <c r="S45" i="39"/>
  <c r="S44" i="39"/>
  <c r="S43" i="39"/>
  <c r="S42" i="39"/>
  <c r="S41" i="39"/>
  <c r="S40" i="39"/>
  <c r="U47" i="39"/>
  <c r="U46" i="39"/>
  <c r="U45" i="39"/>
  <c r="U44" i="39"/>
  <c r="U43" i="39"/>
  <c r="U42" i="39"/>
  <c r="U41" i="39"/>
  <c r="U40" i="39"/>
  <c r="T47" i="39"/>
  <c r="T46" i="39"/>
  <c r="T45" i="39"/>
  <c r="T44" i="39"/>
  <c r="T43" i="39"/>
  <c r="T42" i="39"/>
  <c r="T41" i="39"/>
  <c r="T40" i="39"/>
  <c r="R47" i="39"/>
  <c r="R46" i="39"/>
  <c r="R45" i="39"/>
  <c r="R44" i="39"/>
  <c r="R43" i="39"/>
  <c r="R42" i="39"/>
  <c r="R41" i="39"/>
  <c r="R40" i="39"/>
  <c r="H64" i="20" l="1"/>
  <c r="E58" i="20"/>
  <c r="H55" i="20"/>
  <c r="E54" i="20"/>
  <c r="H14" i="44"/>
  <c r="H61" i="20"/>
  <c r="E60" i="20"/>
  <c r="E53" i="20"/>
  <c r="I29" i="31"/>
  <c r="I29" i="42"/>
  <c r="F13" i="44"/>
  <c r="K29" i="31"/>
  <c r="K29" i="42"/>
  <c r="F51" i="20"/>
  <c r="G22" i="44"/>
  <c r="H20" i="44"/>
  <c r="E49" i="20"/>
  <c r="G54" i="20"/>
  <c r="G15" i="44"/>
  <c r="H18" i="44"/>
  <c r="H60" i="20"/>
  <c r="F17" i="44"/>
  <c r="J29" i="30"/>
  <c r="J29" i="43"/>
  <c r="E12" i="44"/>
  <c r="E24" i="41"/>
  <c r="G12" i="44"/>
  <c r="G24" i="41"/>
  <c r="H12" i="44"/>
  <c r="H24" i="41"/>
  <c r="F12" i="44"/>
  <c r="F24" i="41"/>
  <c r="L29" i="30"/>
  <c r="L29" i="43"/>
  <c r="G52" i="20"/>
  <c r="E51" i="20"/>
  <c r="G53" i="20"/>
  <c r="G21" i="44"/>
  <c r="H63" i="20"/>
  <c r="G64" i="20"/>
  <c r="H22" i="44"/>
  <c r="G59" i="20"/>
  <c r="F50" i="20"/>
  <c r="G19" i="44"/>
  <c r="H23" i="44"/>
  <c r="H62" i="20"/>
  <c r="F52" i="20"/>
  <c r="G26" i="44"/>
  <c r="F19" i="44"/>
  <c r="F61" i="20"/>
  <c r="F25" i="44"/>
  <c r="H53" i="20"/>
  <c r="H17" i="44"/>
  <c r="F56" i="20"/>
  <c r="F20" i="44"/>
  <c r="F60" i="20"/>
  <c r="F24" i="44"/>
  <c r="F64" i="20"/>
  <c r="F28" i="44"/>
  <c r="F57" i="20"/>
  <c r="F21" i="44"/>
  <c r="H49" i="20"/>
  <c r="H13" i="44"/>
  <c r="F54" i="20"/>
  <c r="F18" i="44"/>
  <c r="F58" i="20"/>
  <c r="F22" i="44"/>
  <c r="F62" i="20"/>
  <c r="F26" i="44"/>
  <c r="I32" i="42"/>
  <c r="I32" i="31"/>
  <c r="K32" i="42"/>
  <c r="K32" i="31"/>
  <c r="L32" i="42"/>
  <c r="L32" i="31"/>
  <c r="J32" i="42"/>
  <c r="J32" i="31"/>
  <c r="J30" i="42"/>
  <c r="J30" i="31"/>
  <c r="K30" i="42"/>
  <c r="K30" i="31"/>
  <c r="I31" i="42"/>
  <c r="I31" i="31"/>
  <c r="K31" i="42"/>
  <c r="K31" i="31"/>
  <c r="L31" i="42"/>
  <c r="L31" i="31"/>
  <c r="J31" i="42"/>
  <c r="J31" i="31"/>
  <c r="L30" i="42"/>
  <c r="L30" i="31"/>
  <c r="I30" i="42"/>
  <c r="I30" i="31"/>
  <c r="I32" i="43"/>
  <c r="I32" i="30"/>
  <c r="K32" i="43"/>
  <c r="K32" i="30"/>
  <c r="L32" i="43"/>
  <c r="L32" i="30"/>
  <c r="J32" i="43"/>
  <c r="J32" i="30"/>
  <c r="E48" i="20"/>
  <c r="E25" i="41"/>
  <c r="G48" i="20"/>
  <c r="G25" i="41"/>
  <c r="H48" i="20"/>
  <c r="H25" i="41"/>
  <c r="F48" i="20"/>
  <c r="F25" i="41"/>
  <c r="I31" i="43"/>
  <c r="I31" i="30"/>
  <c r="K31" i="43"/>
  <c r="K31" i="30"/>
  <c r="L31" i="43"/>
  <c r="L31" i="30"/>
  <c r="J31" i="43"/>
  <c r="J31" i="30"/>
  <c r="E29" i="41"/>
  <c r="I30" i="43"/>
  <c r="I30" i="30"/>
  <c r="K30" i="43"/>
  <c r="K30" i="30"/>
  <c r="L30" i="43"/>
  <c r="L30" i="30"/>
  <c r="J30" i="43"/>
  <c r="J30" i="30"/>
  <c r="E33" i="41"/>
  <c r="E32" i="41"/>
  <c r="E27" i="41"/>
  <c r="E31" i="41"/>
  <c r="E26" i="41"/>
  <c r="E28" i="41"/>
  <c r="E30" i="41"/>
  <c r="G33" i="41"/>
  <c r="G32" i="41"/>
  <c r="G31" i="41"/>
  <c r="G30" i="41"/>
  <c r="G29" i="41"/>
  <c r="G28" i="41"/>
  <c r="G27" i="41"/>
  <c r="G26" i="41"/>
  <c r="H33" i="41"/>
  <c r="H32" i="41"/>
  <c r="H31" i="41"/>
  <c r="H30" i="41"/>
  <c r="H29" i="41"/>
  <c r="H28" i="41"/>
  <c r="H27" i="41"/>
  <c r="H26" i="41"/>
  <c r="F33" i="41"/>
  <c r="F32" i="41"/>
  <c r="F31" i="41"/>
  <c r="F30" i="41"/>
  <c r="F29" i="41"/>
  <c r="F28" i="41"/>
  <c r="F27" i="41"/>
  <c r="F26" i="41"/>
  <c r="F36" i="20" l="1"/>
  <c r="F29" i="44"/>
  <c r="H36" i="20"/>
  <c r="H29" i="44"/>
  <c r="G36" i="20"/>
  <c r="G29" i="44"/>
  <c r="E36" i="20"/>
  <c r="E29" i="44"/>
  <c r="F38" i="20"/>
  <c r="F31" i="44"/>
  <c r="H38" i="20"/>
  <c r="H31" i="44"/>
  <c r="G38" i="20"/>
  <c r="G31" i="44"/>
  <c r="E38" i="20"/>
  <c r="E31" i="44"/>
  <c r="E39" i="20"/>
  <c r="E32" i="44"/>
  <c r="F37" i="20"/>
  <c r="F30" i="44"/>
  <c r="H37" i="20"/>
  <c r="H30" i="44"/>
  <c r="G37" i="20"/>
  <c r="G30" i="44"/>
  <c r="E37" i="20"/>
  <c r="E30" i="44"/>
  <c r="F39" i="20"/>
  <c r="F32" i="44"/>
  <c r="H39" i="20"/>
  <c r="H32" i="44"/>
  <c r="G39" i="20"/>
  <c r="G32" i="44"/>
</calcChain>
</file>

<file path=xl/sharedStrings.xml><?xml version="1.0" encoding="utf-8"?>
<sst xmlns="http://schemas.openxmlformats.org/spreadsheetml/2006/main" count="821" uniqueCount="216">
  <si>
    <t>Active Substance Parameters</t>
  </si>
  <si>
    <t>Compound Name</t>
  </si>
  <si>
    <t>-</t>
  </si>
  <si>
    <t>Aquatic</t>
  </si>
  <si>
    <t>Sediment</t>
  </si>
  <si>
    <t xml:space="preserve">Available at: http://echa.europa.eu/en/guidance-documents/guidance-on-biocides-legislation/emission-scenario-documents </t>
  </si>
  <si>
    <t>Version history</t>
  </si>
  <si>
    <t>ESD for PT 21: Emission scenarios for antifouling products in OECD countries (European Commission, DG Environment, 2004)</t>
  </si>
  <si>
    <t>Scenario</t>
  </si>
  <si>
    <t>Sceanrio Country | Code</t>
  </si>
  <si>
    <t>Substance</t>
  </si>
  <si>
    <t>DE</t>
  </si>
  <si>
    <t>Maximum</t>
  </si>
  <si>
    <t>Minimum</t>
  </si>
  <si>
    <t>Input</t>
  </si>
  <si>
    <t>Variable/parameter</t>
  </si>
  <si>
    <t>Symbol</t>
  </si>
  <si>
    <t>Value</t>
  </si>
  <si>
    <t>Unit</t>
  </si>
  <si>
    <t>References / Calculation formulas / Explanations</t>
  </si>
  <si>
    <t>ISO mass-balance calculation method</t>
  </si>
  <si>
    <r>
      <t>S/D/O/P</t>
    </r>
    <r>
      <rPr>
        <vertAlign val="superscript"/>
        <sz val="11"/>
        <color rgb="FF0070C0"/>
        <rFont val="Verdana"/>
        <family val="2"/>
      </rPr>
      <t xml:space="preserve"> 1</t>
    </r>
  </si>
  <si>
    <t>Percentage of biocide that is released from the paint film during the lifetime of the paint</t>
  </si>
  <si>
    <r>
      <t>L</t>
    </r>
    <r>
      <rPr>
        <i/>
        <vertAlign val="subscript"/>
        <sz val="10"/>
        <color theme="1"/>
        <rFont val="Verdana"/>
        <family val="2"/>
      </rPr>
      <t>a</t>
    </r>
  </si>
  <si>
    <t>a</t>
  </si>
  <si>
    <r>
      <rPr>
        <i/>
        <sz val="10"/>
        <color theme="1"/>
        <rFont val="Verdana"/>
        <family val="2"/>
      </rPr>
      <t>W</t>
    </r>
    <r>
      <rPr>
        <i/>
        <vertAlign val="subscript"/>
        <sz val="10"/>
        <color theme="1"/>
        <rFont val="Verdana"/>
        <family val="2"/>
      </rPr>
      <t>a</t>
    </r>
  </si>
  <si>
    <t>Mass fraction of biocide in the biocidal ingredient</t>
  </si>
  <si>
    <t>Content of biocidal ingredient in the paint formulation as manufactured</t>
  </si>
  <si>
    <t>% by mass</t>
  </si>
  <si>
    <t xml:space="preserve">Density of the paint as manufactured </t>
  </si>
  <si>
    <t>ƿ</t>
  </si>
  <si>
    <t>DFT</t>
  </si>
  <si>
    <t>VS</t>
  </si>
  <si>
    <t>t</t>
  </si>
  <si>
    <t>Output</t>
  </si>
  <si>
    <r>
      <t>M</t>
    </r>
    <r>
      <rPr>
        <i/>
        <vertAlign val="subscript"/>
        <sz val="10"/>
        <color theme="1"/>
        <rFont val="Verdana"/>
        <family val="2"/>
      </rPr>
      <t>rel</t>
    </r>
  </si>
  <si>
    <t xml:space="preserve">_
R
</t>
  </si>
  <si>
    <t>Dry film thickness specified for the lifetime of the paint</t>
  </si>
  <si>
    <t>Lifetime of the antifouling paint</t>
  </si>
  <si>
    <t>Months</t>
  </si>
  <si>
    <t>% by volume</t>
  </si>
  <si>
    <t>Estimated total mass of biocde released per unit area of paint film over the lifetime of the paint</t>
  </si>
  <si>
    <t>Average biocide release rate over the lifetime of the paint</t>
  </si>
  <si>
    <t>%</t>
  </si>
  <si>
    <t>O</t>
  </si>
  <si>
    <t>D/S</t>
  </si>
  <si>
    <t>S</t>
  </si>
  <si>
    <t>Calculation of leaching rate conversion</t>
  </si>
  <si>
    <t>Conversion Factor</t>
  </si>
  <si>
    <t>Measured Leaching Rate</t>
  </si>
  <si>
    <t>Leaching Rate: Product Specific</t>
  </si>
  <si>
    <t>0= Measured Value| 1= Calculated Value</t>
  </si>
  <si>
    <t>Measured Value</t>
  </si>
  <si>
    <t>Calculated Value</t>
  </si>
  <si>
    <t>Background Concentration</t>
  </si>
  <si>
    <t>Surface Water</t>
  </si>
  <si>
    <t>PNEC Values</t>
  </si>
  <si>
    <t>User Input Values</t>
  </si>
  <si>
    <t xml:space="preserve">PEC:PNEC SW inside marina 
</t>
  </si>
  <si>
    <t xml:space="preserve">PEC:PNEC Sed inside marina 
</t>
  </si>
  <si>
    <t xml:space="preserve">PEC:PNEC SW surrounding marina 
</t>
  </si>
  <si>
    <t xml:space="preserve">PEC:PNEC Sed surrounding marina 
</t>
  </si>
  <si>
    <t>Average biocide release over the lifetime of the paint</t>
  </si>
  <si>
    <t>Leave Blank if no measured Value</t>
  </si>
  <si>
    <t>Application Factor</t>
  </si>
  <si>
    <t>Calculation of Application conversion</t>
  </si>
  <si>
    <t>Leaching Rate considered within default MAMPEC calculations</t>
  </si>
  <si>
    <t>User Selected Value</t>
  </si>
  <si>
    <t>Inside Marina</t>
  </si>
  <si>
    <t>Surrounding Marina</t>
  </si>
  <si>
    <t xml:space="preserve">PECsw inside marina 
(average, dissolved, ug/l)
</t>
  </si>
  <si>
    <t xml:space="preserve">PECsw surrounding marina
(average, disolved, ug/l)
</t>
  </si>
  <si>
    <t>Application factor considered within default MAMPEC calculations</t>
  </si>
  <si>
    <t>Summary of  Risk Characterisation Calculations</t>
  </si>
  <si>
    <t>Active Substance</t>
  </si>
  <si>
    <t>PEC Tool Version</t>
  </si>
  <si>
    <t>PEC Values</t>
  </si>
  <si>
    <t>PEC/PNEC Ratios</t>
  </si>
  <si>
    <t>Output: Summary</t>
  </si>
  <si>
    <t>Output: Full</t>
  </si>
  <si>
    <t xml:space="preserve">PNEC Values </t>
  </si>
  <si>
    <t>Leaching Rate</t>
  </si>
  <si>
    <t>Product Specific</t>
  </si>
  <si>
    <t>Values greater than 1 are in bold text.</t>
  </si>
  <si>
    <t>90th percentile</t>
  </si>
  <si>
    <t>80th percentile</t>
  </si>
  <si>
    <t>75th percentile</t>
  </si>
  <si>
    <t>50th percentile</t>
  </si>
  <si>
    <t>25th percentile</t>
  </si>
  <si>
    <t>10th percentile</t>
  </si>
  <si>
    <t>Environmental Emission Scenarios for Product Type 21: Biocides used as antifouling products</t>
  </si>
  <si>
    <t>Freshwater</t>
  </si>
  <si>
    <r>
      <t>µg cm</t>
    </r>
    <r>
      <rPr>
        <vertAlign val="superscript"/>
        <sz val="10"/>
        <color theme="1"/>
        <rFont val="Verdana"/>
        <family val="2"/>
      </rPr>
      <t xml:space="preserve">-2 </t>
    </r>
    <r>
      <rPr>
        <sz val="10"/>
        <color theme="1"/>
        <rFont val="Verdana"/>
        <family val="2"/>
      </rPr>
      <t>d</t>
    </r>
    <r>
      <rPr>
        <vertAlign val="superscript"/>
        <sz val="10"/>
        <color theme="1"/>
        <rFont val="Verdana"/>
        <family val="2"/>
      </rPr>
      <t>-1</t>
    </r>
  </si>
  <si>
    <t>µm</t>
  </si>
  <si>
    <r>
      <t>kg dm</t>
    </r>
    <r>
      <rPr>
        <vertAlign val="superscript"/>
        <sz val="10"/>
        <color theme="1"/>
        <rFont val="Verdana"/>
        <family val="2"/>
      </rPr>
      <t>-3</t>
    </r>
    <r>
      <rPr>
        <sz val="10"/>
        <color theme="1"/>
        <rFont val="Verdana"/>
        <family val="2"/>
      </rPr>
      <t xml:space="preserve"> (g cm</t>
    </r>
    <r>
      <rPr>
        <vertAlign val="superscript"/>
        <sz val="10"/>
        <color theme="1"/>
        <rFont val="Verdana"/>
        <family val="2"/>
      </rPr>
      <t>-3</t>
    </r>
    <r>
      <rPr>
        <sz val="10"/>
        <color theme="1"/>
        <rFont val="Verdana"/>
        <family val="2"/>
      </rPr>
      <t>)</t>
    </r>
  </si>
  <si>
    <t>µg/l</t>
  </si>
  <si>
    <t>µg/g dw</t>
  </si>
  <si>
    <r>
      <t>µg cm</t>
    </r>
    <r>
      <rPr>
        <vertAlign val="superscript"/>
        <sz val="10"/>
        <color theme="1"/>
        <rFont val="Verdana"/>
        <family val="2"/>
      </rPr>
      <t>-2</t>
    </r>
  </si>
  <si>
    <t>Surface Water (µg/l)</t>
  </si>
  <si>
    <t>Sediment
(µg/g dw)</t>
  </si>
  <si>
    <t xml:space="preserve">PECsw inside marina 
(average, dissolved, µg/l)
</t>
  </si>
  <si>
    <t xml:space="preserve">PECsw surrounding marina
(average, disolved, µg/l)
</t>
  </si>
  <si>
    <t xml:space="preserve">PNECsed Surrounding Marina
(µg/g dw)
</t>
  </si>
  <si>
    <t xml:space="preserve">PNECsw Surrounding Marina 
(µg/l)
</t>
  </si>
  <si>
    <t xml:space="preserve">PNECsed Inside Marina 
(µg/g dw)
</t>
  </si>
  <si>
    <t xml:space="preserve">PNECsw Inside Marina 
(µg/l)
</t>
  </si>
  <si>
    <t xml:space="preserve">Instructions for use of the PT21 Freshwater PEC tool </t>
  </si>
  <si>
    <t>Volume Solids content
(Volume of dry paint film versus volume of pain as manufactured)</t>
  </si>
  <si>
    <t>Freshwater Scenario</t>
  </si>
  <si>
    <t>Scenario Country</t>
  </si>
  <si>
    <t xml:space="preserve">MAMPEC-100_Boat PECsw surrounding marina
(average, disolved, µg/l)
</t>
  </si>
  <si>
    <t xml:space="preserve"> PNECsed Surrounding Marina
(µg/g dw)
</t>
  </si>
  <si>
    <t xml:space="preserve">Σ PEC:PNEC SW inside marina 
</t>
  </si>
  <si>
    <t>Σ PEC:PNEC
SW
surrounding marina</t>
  </si>
  <si>
    <t>Σ PEC:PNEC
Sed
surrounding marina</t>
  </si>
  <si>
    <t xml:space="preserve">Σ PEC:PNEC
SW
inside marina
</t>
  </si>
  <si>
    <t xml:space="preserve">Σ PEC:PNEC
Sed
inside marina
</t>
  </si>
  <si>
    <t>Copper</t>
  </si>
  <si>
    <t xml:space="preserve">PNECsw Inside Marina (µg/l)
</t>
  </si>
  <si>
    <t xml:space="preserve">PNECsed Inside Marina (µg/g dw)
</t>
  </si>
  <si>
    <t xml:space="preserve">PNECsw Surrounding Marina (µg/l)
</t>
  </si>
  <si>
    <t xml:space="preserve">PNECsed Surrounding Marina (µg/g dw)
</t>
  </si>
  <si>
    <t xml:space="preserve">PECsed inside marina
susp. 
(average, ug/g dw)
</t>
  </si>
  <si>
    <t xml:space="preserve">PECsed surrounding marina
susp. 
(average, ug/g dw)
</t>
  </si>
  <si>
    <t xml:space="preserve">PEC:PNEC 
SW 
inside marina 
</t>
  </si>
  <si>
    <t xml:space="preserve">PEC:PNEC
Sed 
inside marina 
</t>
  </si>
  <si>
    <t xml:space="preserve">PEC:PNEC
SW surrounding marina 
</t>
  </si>
  <si>
    <t xml:space="preserve">PEC:PNEC
Sed surrounding marina 
</t>
  </si>
  <si>
    <t xml:space="preserve">PEC:PNEC Susp. inside marina 
</t>
  </si>
  <si>
    <t xml:space="preserve">PEC:PNEC SW surrounding marina 
</t>
  </si>
  <si>
    <t xml:space="preserve">PEC:PNEC Susp. surrounding marina
</t>
  </si>
  <si>
    <t xml:space="preserve">Σ PEC:PNEC Susp.
inside marina 
</t>
  </si>
  <si>
    <t xml:space="preserve">Σ PEC:PNEC Susp.
surrounding marina 
</t>
  </si>
  <si>
    <t xml:space="preserve">PECsw inside marina
(average, 
dissolved, µg/l)
</t>
  </si>
  <si>
    <t xml:space="preserve">PECsusp inside 
marina
(average,
 µg/g dw)
</t>
  </si>
  <si>
    <t xml:space="preserve">
PECsw surrounding
marina
(average,
dissolved, µg/l)
</t>
  </si>
  <si>
    <t xml:space="preserve">
PECsusp surrounding
marina
(average,
µg/g dw)
</t>
  </si>
  <si>
    <t xml:space="preserve">
Σ PEC:PNEC SW surrounding marina 
</t>
  </si>
  <si>
    <r>
      <rPr>
        <b/>
        <sz val="10"/>
        <color theme="1"/>
        <rFont val="Verdana"/>
        <family val="2"/>
      </rPr>
      <t>Reference document:</t>
    </r>
    <r>
      <rPr>
        <sz val="10"/>
        <color theme="1"/>
        <rFont val="Verdana"/>
        <family val="2"/>
      </rPr>
      <t xml:space="preserve"> </t>
    </r>
  </si>
  <si>
    <r>
      <t>m</t>
    </r>
    <r>
      <rPr>
        <vertAlign val="superscript"/>
        <sz val="10"/>
        <color theme="1"/>
        <rFont val="Verdana"/>
        <family val="2"/>
      </rPr>
      <t xml:space="preserve">2 </t>
    </r>
    <r>
      <rPr>
        <b/>
        <sz val="10"/>
        <color theme="1"/>
        <rFont val="Verdana"/>
        <family val="2"/>
      </rPr>
      <t xml:space="preserve"> Default; do not change</t>
    </r>
  </si>
  <si>
    <t xml:space="preserve">MAMPEC-100_Boat
 PECsw inside marina 
(average, dissolved, µg/l)
</t>
  </si>
  <si>
    <t xml:space="preserve">MAMPEC-100_Boat
PECsusp. inside marina 
(average, 
µg/g dw)
</t>
  </si>
  <si>
    <t xml:space="preserve">MAMPEC-100_Boat PECsusp. surrounding
(average, 
µg/g dw)
</t>
  </si>
  <si>
    <t xml:space="preserve">PECsed inside marina
(average, 
µg/g dw)
</t>
  </si>
  <si>
    <t xml:space="preserve">PECsed surrounding
marina
(average, 
µg/g dw)
</t>
  </si>
  <si>
    <t>Copper and pyrithione</t>
  </si>
  <si>
    <t>Do not alter; enter this parameter only in tab C_User_Input</t>
  </si>
  <si>
    <t>Pyrithione</t>
  </si>
  <si>
    <t>All inputs should be entered into the separate 'User_Input' worksheet only.  This can be accessed via the 'User_Input' tab at the bottom of the page.  No other worksheets need to be amended.</t>
  </si>
  <si>
    <t>The 'User_Input' worksheet is pre-populated with EU agreed PNEC values (see cells C12:D13).  These should only be amended when running refined higher tier simulations and when fully supported by additional data.</t>
  </si>
  <si>
    <t>Users should note that some tools have been created to calculate exposure levels from more than one substance.  This applies to the copper pyrithione and copper thiocyanate tools.  In addition the zineb tool includes calculation of exposure from the metabolite DIDT.  These tools have separate 'User_input' worksheets for each substance that can be accessed via the separate tabs and must be used to enter the relevant substance specific information.</t>
  </si>
  <si>
    <t xml:space="preserve">The inputs on Application Factor and leaching rate are all that are required for the tool to perform the required calculations.  The tool then uses this information to perform simple linear corrections to MAMPEC v3.1 model outputs that have been previously generated using default Application Factors and leaching rates and used to pre-populate the spreadsheet.  </t>
  </si>
  <si>
    <t xml:space="preserve">The 'Active_Substance_Input' tab can be selected to view a summary of the substance specific input parameters that were used in running the original MAMPEC 3.1 simulations that are used in the underlying worksheet calculations.  These represent EU endpoints agreed during the substance approvals stage.  The outputs from the tool will be based on these substance properties and the user inputted Application Factor and leaching rate for each product. </t>
  </si>
  <si>
    <t xml:space="preserve">A summary of outputs from all scenarios is also provided in the 'Output_Summary' tab.  This can be copied and pasted into individual Product Assessment Reports to ensure consistency of reporting of outputs of the first tier exposure assessments. </t>
  </si>
  <si>
    <t>For products containing more than one active substance or containing Substances of Concern a mixture assessment will need to be performed.  Users should consult the Product Authorisation Manual and use the additional 'Multiple_Substance_RQ' Excel tool to facilitate these calculations.</t>
  </si>
  <si>
    <t>Calculation of Wetted Surface Area conversion</t>
  </si>
  <si>
    <t>Wetted surface area considered within default calculations</t>
  </si>
  <si>
    <t xml:space="preserve">First, the user should select an appropriate Application Factor in cell H7.  The Application Factor determines the fraction of vessels assumed to be treated with the product.  For the purposes of a first tier assessment, an Application Factor of 0.95 should be selected for copper and 0.90 for all other substances, including copper+thiocyanate and copper+pyrithione. </t>
  </si>
  <si>
    <t xml:space="preserve">In the absence of measured data on the leaching rate, the tool can be used to run the ISO mass-balance calculation method to determine a conservative estimate of long term leaching.  The variables for the ISO mass-balance method should be entered into cells I21:I27, taking care to use the correct units for each variable.  The sheet will estimate the long term release rate in cell I30 and use this in all subsequent calculations (provided cell H11 is left blank).  </t>
  </si>
  <si>
    <t>Version Final 1.1</t>
  </si>
  <si>
    <t>Mean</t>
  </si>
  <si>
    <t>Median</t>
  </si>
  <si>
    <r>
      <t>WSA</t>
    </r>
    <r>
      <rPr>
        <vertAlign val="subscript"/>
        <sz val="10"/>
        <color rgb="FF0070C0"/>
        <rFont val="Verdana"/>
        <family val="2"/>
      </rPr>
      <t>aggregated</t>
    </r>
  </si>
  <si>
    <t>Inland marina marina 1</t>
  </si>
  <si>
    <t>Inland marina marina 2</t>
  </si>
  <si>
    <t>Inland marina marina 3</t>
  </si>
  <si>
    <t>Inland marina marina 4</t>
  </si>
  <si>
    <t>Inland marina marina 5</t>
  </si>
  <si>
    <t>Inland marina marina 6</t>
  </si>
  <si>
    <t>Inland marina marina 7</t>
  </si>
  <si>
    <t>Inland marina marina 8</t>
  </si>
  <si>
    <t>Inland marina marina 9</t>
  </si>
  <si>
    <t>Inland marina marina 10</t>
  </si>
  <si>
    <t>Inland marina marina 11</t>
  </si>
  <si>
    <t>Inland marina marina 12</t>
  </si>
  <si>
    <t>Inland marina marina 13</t>
  </si>
  <si>
    <t>Inland marina marina 14</t>
  </si>
  <si>
    <t>Inland marina marina 15</t>
  </si>
  <si>
    <t>Inland marina marina 16</t>
  </si>
  <si>
    <t>Inland marina marina 17</t>
  </si>
  <si>
    <t>German scenario for inland water marinas |  Risk Characterisation</t>
  </si>
  <si>
    <r>
      <t>WAS</t>
    </r>
    <r>
      <rPr>
        <vertAlign val="subscript"/>
        <sz val="10"/>
        <color rgb="FF0070C0"/>
        <rFont val="Verdana"/>
        <family val="2"/>
      </rPr>
      <t>aggregated</t>
    </r>
  </si>
  <si>
    <t>German scenario for inland water marinas | Risk Characterisation</t>
  </si>
  <si>
    <t>German scenario for inland water marinas | Average PEC  values and Risk Characterisation</t>
  </si>
  <si>
    <t>Inland water Scenario</t>
  </si>
  <si>
    <r>
      <t xml:space="preserve">Median </t>
    </r>
    <r>
      <rPr>
        <i/>
        <sz val="10"/>
        <color theme="1"/>
        <rFont val="Verdana"/>
        <family val="2"/>
      </rPr>
      <t>(Endpoint for risk assessment)</t>
    </r>
  </si>
  <si>
    <t>Inland Scenario</t>
  </si>
  <si>
    <t xml:space="preserve">Median </t>
  </si>
  <si>
    <r>
      <t xml:space="preserve">Users should consult the </t>
    </r>
    <r>
      <rPr>
        <i/>
        <sz val="10"/>
        <color theme="1"/>
        <rFont val="Verdana"/>
        <family val="2"/>
      </rPr>
      <t>PT21 Product Authorisation Manual</t>
    </r>
    <r>
      <rPr>
        <sz val="10"/>
        <color theme="1"/>
        <rFont val="Verdana"/>
        <family val="2"/>
      </rPr>
      <t xml:space="preserve"> and</t>
    </r>
    <r>
      <rPr>
        <sz val="10"/>
        <rFont val="Verdana"/>
        <family val="2"/>
      </rPr>
      <t xml:space="preserve"> the </t>
    </r>
    <r>
      <rPr>
        <i/>
        <sz val="10"/>
        <rFont val="Verdana"/>
        <family val="2"/>
      </rPr>
      <t>Report for the German scenario for inland water marinas</t>
    </r>
    <r>
      <rPr>
        <sz val="10"/>
        <color theme="1"/>
        <rFont val="Verdana"/>
        <family val="2"/>
      </rPr>
      <t xml:space="preserve"> before using this tool. The manual and report contain important background information on the development of the underlying scenarios and further detailed information on the approaches to take when using this tool for the purposes of first tier exposure assessments.  The information below represents a simple step-by-step guide to running the tool correctly.</t>
    </r>
  </si>
  <si>
    <t xml:space="preserve">Next the user should enter information on the leaching rate. There are two options.  Where a measured product specific leaching rate is available this should be entered directly into cell H11 (in µg cm-2 d-1).  The tool will preferentially use a measured leaching rate when one is entered.  If no measured data is available cell H11 must be left blank. </t>
  </si>
  <si>
    <t xml:space="preserve">Scenario specific outputs can be viewed by selecting the relevant named tabs 'Output_DE_marinas'.  These separate output worksheet tabs automatically colour code any PEC:PNEC ratio exceeding 1 in red shading whilst those scenarios with PEC:PNEC ratios below 1 will be shaded green.   </t>
  </si>
  <si>
    <t>Calculator tool for the German scenario for inland water marinas</t>
  </si>
  <si>
    <r>
      <t xml:space="preserve">This workbook provides a calculation tool for estimating the environmental releases from the use of biocides as antifouling products. It consists of a number of spreadsheets, covering the emission scenarios for the service life of recreational craft in </t>
    </r>
    <r>
      <rPr>
        <b/>
        <sz val="10"/>
        <color theme="1"/>
        <rFont val="Verdana"/>
        <family val="2"/>
      </rPr>
      <t>GERMAN</t>
    </r>
    <r>
      <rPr>
        <sz val="10"/>
        <color theme="1"/>
        <rFont val="Verdana"/>
        <family val="2"/>
      </rPr>
      <t xml:space="preserve"> inland water as described in the Emission Scenario Document (below) and the </t>
    </r>
    <r>
      <rPr>
        <i/>
        <sz val="10"/>
        <rFont val="Verdana"/>
        <family val="2"/>
      </rPr>
      <t>Report for the German scenario for inland water marinas</t>
    </r>
    <r>
      <rPr>
        <sz val="10"/>
        <color theme="1"/>
        <rFont val="Verdana"/>
        <family val="2"/>
      </rPr>
      <t>. 
This is not a standalone document. It is a calculation tool and it should be used in combination with the ESD, which contains the background information that needs to be taken into account in order to correctly use this spreadsheet.</t>
    </r>
  </si>
  <si>
    <t>Report for the German scenario for inland water marinas (German Environment Agency (UBA), FG IV 1.2, 2020)</t>
  </si>
  <si>
    <t>Final Version 1.0</t>
  </si>
  <si>
    <t>Created; based on 'Emission estimation PT 21 - freshwater, copper and pyrithione v1.1 [XLSX] downloaded form ECHA website; removed EU freshwater region and associated parameters; PEC calculation adapted to the DE dataset (WSA correction)</t>
  </si>
  <si>
    <t>Inland water marina 1</t>
  </si>
  <si>
    <t>Inland water marina 2</t>
  </si>
  <si>
    <t>Inland water marina 3</t>
  </si>
  <si>
    <t>Inland water marina 4</t>
  </si>
  <si>
    <t>Inland water marina 5</t>
  </si>
  <si>
    <t>Inland water marina 6</t>
  </si>
  <si>
    <t>Inland water marina 7</t>
  </si>
  <si>
    <t>Inland water marina 8</t>
  </si>
  <si>
    <t>Inland water marina 9</t>
  </si>
  <si>
    <t>Inland water marina 10</t>
  </si>
  <si>
    <t>Inland water marina 11</t>
  </si>
  <si>
    <t>Inland water marina 12</t>
  </si>
  <si>
    <t>Inland water marina 13</t>
  </si>
  <si>
    <t>Inland water marina 14</t>
  </si>
  <si>
    <t>Inland water marina 15</t>
  </si>
  <si>
    <t>Inland water marina 16</t>
  </si>
  <si>
    <t>Inland water marina 17</t>
  </si>
  <si>
    <t>Inland water marina 18</t>
  </si>
  <si>
    <t>Inland water marina 19</t>
  </si>
  <si>
    <t>Available at: https://www.umweltbundesamt.de/publikationen/german-scenario-for-inland-water-marinas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</si>
</sst>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color theme="1"/>
      <name val="Verdana"/>
      <family val="2"/>
    </font>
    <font>
      <sz val="11"/>
      <color theme="1"/>
      <name val="Calibri"/>
      <family val="2"/>
      <scheme val="minor"/>
    </font>
    <font>
      <b/>
      <sz val="13"/>
      <color theme="3"/>
      <name val="Calibri"/>
      <family val="2"/>
      <scheme val="minor"/>
    </font>
    <font>
      <b/>
      <sz val="11"/>
      <color theme="1"/>
      <name val="Calibri"/>
      <family val="2"/>
      <scheme val="minor"/>
    </font>
    <font>
      <sz val="11"/>
      <color theme="1"/>
      <name val="Calibri"/>
      <family val="2"/>
    </font>
    <font>
      <sz val="10"/>
      <color theme="1"/>
      <name val="Verdana"/>
      <family val="2"/>
    </font>
    <font>
      <sz val="10"/>
      <color rgb="FF3F3F76"/>
      <name val="Verdana"/>
      <family val="2"/>
    </font>
    <font>
      <b/>
      <sz val="10"/>
      <color rgb="FF3F3F3F"/>
      <name val="Verdana"/>
      <family val="2"/>
    </font>
    <font>
      <b/>
      <sz val="12"/>
      <color theme="0"/>
      <name val="Calibri"/>
      <family val="2"/>
      <scheme val="minor"/>
    </font>
    <font>
      <b/>
      <sz val="15"/>
      <color theme="3"/>
      <name val="Verdana"/>
      <family val="2"/>
    </font>
    <font>
      <b/>
      <sz val="11"/>
      <color theme="3"/>
      <name val="Verdana"/>
      <family val="2"/>
    </font>
    <font>
      <sz val="10"/>
      <name val="Arial"/>
      <family val="2"/>
    </font>
    <font>
      <b/>
      <sz val="10"/>
      <color rgb="FFFA7D00"/>
      <name val="Verdana"/>
      <family val="2"/>
    </font>
    <font>
      <b/>
      <sz val="12"/>
      <color rgb="FFFFC000"/>
      <name val="Verdana"/>
      <family val="2"/>
    </font>
    <font>
      <sz val="11"/>
      <color theme="1"/>
      <name val="Verdana"/>
      <family val="2"/>
    </font>
    <font>
      <sz val="10"/>
      <name val="Verdana"/>
      <family val="2"/>
    </font>
    <font>
      <b/>
      <sz val="12"/>
      <color rgb="FFEFB011"/>
      <name val="Verdana"/>
      <family val="2"/>
    </font>
    <font>
      <vertAlign val="superscript"/>
      <sz val="11"/>
      <color rgb="FF0070C0"/>
      <name val="Verdana"/>
      <family val="2"/>
    </font>
    <font>
      <i/>
      <sz val="10"/>
      <color theme="1"/>
      <name val="Verdana"/>
      <family val="2"/>
    </font>
    <font>
      <i/>
      <vertAlign val="subscript"/>
      <sz val="10"/>
      <color theme="1"/>
      <name val="Verdana"/>
      <family val="2"/>
    </font>
    <font>
      <vertAlign val="superscript"/>
      <sz val="10"/>
      <color theme="1"/>
      <name val="Verdana"/>
      <family val="2"/>
    </font>
    <font>
      <i/>
      <sz val="10"/>
      <color theme="1"/>
      <name val="Calibri"/>
      <family val="2"/>
    </font>
    <font>
      <b/>
      <sz val="10"/>
      <color theme="1"/>
      <name val="Verdana"/>
      <family val="2"/>
    </font>
    <font>
      <b/>
      <sz val="15"/>
      <color theme="3"/>
      <name val="Calibri"/>
      <family val="2"/>
      <scheme val="minor"/>
    </font>
    <font>
      <sz val="11"/>
      <color theme="0" tint="-4.9989318521683403E-2"/>
      <name val="Verdana"/>
      <family val="2"/>
    </font>
    <font>
      <b/>
      <u/>
      <sz val="10"/>
      <color theme="1"/>
      <name val="Verdana"/>
      <family val="2"/>
    </font>
    <font>
      <sz val="10"/>
      <color rgb="FF0070C0"/>
      <name val="Verdana"/>
      <family val="2"/>
    </font>
    <font>
      <sz val="9"/>
      <color rgb="FF006100"/>
      <name val="Arial"/>
      <family val="2"/>
    </font>
    <font>
      <sz val="16"/>
      <color theme="1"/>
      <name val="Verdana"/>
      <family val="2"/>
    </font>
    <font>
      <sz val="11"/>
      <color rgb="FF000000"/>
      <name val="Verdana"/>
      <family val="2"/>
    </font>
    <font>
      <vertAlign val="subscript"/>
      <sz val="10"/>
      <color rgb="FF0070C0"/>
      <name val="Verdana"/>
      <family val="2"/>
    </font>
    <font>
      <i/>
      <sz val="10"/>
      <name val="Verdana"/>
      <family val="2"/>
    </font>
  </fonts>
  <fills count="18">
    <fill>
      <patternFill patternType="none"/>
    </fill>
    <fill>
      <patternFill patternType="gray125"/>
    </fill>
    <fill>
      <patternFill patternType="solid">
        <fgColor rgb="FFFFCC99"/>
      </patternFill>
    </fill>
    <fill>
      <patternFill patternType="solid">
        <fgColor rgb="FFF2F2F2"/>
      </patternFill>
    </fill>
    <fill>
      <patternFill patternType="solid">
        <fgColor rgb="FFA5A5A5"/>
      </patternFill>
    </fill>
    <fill>
      <patternFill patternType="solid">
        <fgColor theme="0"/>
        <bgColor indexed="64"/>
      </patternFill>
    </fill>
    <fill>
      <patternFill patternType="solid">
        <fgColor rgb="FF0070C0"/>
        <bgColor indexed="64"/>
      </patternFill>
    </fill>
    <fill>
      <patternFill patternType="solid">
        <fgColor theme="4" tint="0.79998168889431442"/>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39994506668294322"/>
        <bgColor indexed="64"/>
      </patternFill>
    </fill>
    <fill>
      <patternFill patternType="lightTrellis">
        <fgColor theme="0"/>
        <bgColor rgb="FFFFC000"/>
      </patternFill>
    </fill>
    <fill>
      <patternFill patternType="gray0625">
        <fgColor theme="8" tint="0.79992065187536243"/>
        <bgColor theme="4" tint="0.79989013336588644"/>
      </patternFill>
    </fill>
    <fill>
      <patternFill patternType="solid">
        <fgColor theme="7" tint="0.79998168889431442"/>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rgb="FFC6EFCE"/>
      </patternFill>
    </fill>
    <fill>
      <patternFill patternType="lightTrellis">
        <fgColor rgb="FFFFFFFF"/>
        <bgColor rgb="FFFFC000"/>
      </patternFill>
    </fill>
  </fills>
  <borders count="22">
    <border>
      <left/>
      <right/>
      <top/>
      <bottom/>
      <diagonal/>
    </border>
    <border>
      <left/>
      <right/>
      <top/>
      <bottom style="thick">
        <color theme="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0">
    <xf numFmtId="0" fontId="0" fillId="5" borderId="0"/>
    <xf numFmtId="0" fontId="9" fillId="0" borderId="1" applyNumberFormat="0" applyFill="0" applyAlignment="0" applyProtection="0"/>
    <xf numFmtId="0" fontId="2" fillId="0" borderId="2" applyNumberFormat="0" applyFill="0" applyAlignment="0" applyProtection="0"/>
    <xf numFmtId="0" fontId="10" fillId="0" borderId="0" applyNumberFormat="0" applyFill="0" applyBorder="0" applyAlignment="0" applyProtection="0"/>
    <xf numFmtId="0" fontId="6" fillId="2" borderId="3" applyNumberFormat="0" applyAlignment="0" applyProtection="0"/>
    <xf numFmtId="0" fontId="7" fillId="3" borderId="4" applyNumberFormat="0" applyAlignment="0" applyProtection="0"/>
    <xf numFmtId="0" fontId="12" fillId="3" borderId="3" applyNumberFormat="0" applyAlignment="0" applyProtection="0"/>
    <xf numFmtId="0" fontId="8" fillId="4" borderId="5" applyNumberFormat="0" applyAlignment="0" applyProtection="0"/>
    <xf numFmtId="0" fontId="5" fillId="0" borderId="0"/>
    <xf numFmtId="0" fontId="6" fillId="2" borderId="3" applyNumberFormat="0" applyAlignment="0" applyProtection="0"/>
    <xf numFmtId="0" fontId="7" fillId="3" borderId="4" applyNumberFormat="0" applyAlignment="0" applyProtection="0"/>
    <xf numFmtId="0" fontId="8" fillId="4" borderId="5" applyNumberFormat="0" applyAlignment="0" applyProtection="0"/>
    <xf numFmtId="0" fontId="9" fillId="0" borderId="1" applyNumberFormat="0" applyFill="0" applyAlignment="0" applyProtection="0"/>
    <xf numFmtId="0" fontId="10" fillId="0" borderId="0" applyNumberFormat="0" applyFill="0" applyBorder="0" applyAlignment="0" applyProtection="0"/>
    <xf numFmtId="0" fontId="11" fillId="0" borderId="0"/>
    <xf numFmtId="0" fontId="12" fillId="3" borderId="3" applyNumberFormat="0" applyAlignment="0" applyProtection="0"/>
    <xf numFmtId="0" fontId="11" fillId="0" borderId="0"/>
    <xf numFmtId="0" fontId="13" fillId="6" borderId="0">
      <alignment horizontal="center"/>
    </xf>
    <xf numFmtId="0" fontId="14" fillId="7" borderId="0">
      <alignment horizontal="center" vertical="center" wrapText="1"/>
    </xf>
    <xf numFmtId="0" fontId="26" fillId="7" borderId="0">
      <alignment horizontal="center" vertical="center" wrapText="1"/>
    </xf>
    <xf numFmtId="0" fontId="15" fillId="10" borderId="0">
      <alignment horizontal="center" vertical="center"/>
    </xf>
    <xf numFmtId="0" fontId="5" fillId="8" borderId="6">
      <alignment horizontal="left" vertical="center"/>
    </xf>
    <xf numFmtId="2" fontId="5" fillId="9" borderId="18">
      <alignment horizontal="center" vertical="center"/>
    </xf>
    <xf numFmtId="0" fontId="14" fillId="11" borderId="0">
      <alignment horizontal="center" vertical="center"/>
    </xf>
    <xf numFmtId="0" fontId="14" fillId="12" borderId="0">
      <alignment horizontal="center" vertical="center" wrapText="1"/>
    </xf>
    <xf numFmtId="0" fontId="1" fillId="0" borderId="0"/>
    <xf numFmtId="0" fontId="23" fillId="0" borderId="1" applyNumberFormat="0" applyFill="0" applyAlignment="0" applyProtection="0"/>
    <xf numFmtId="0" fontId="15" fillId="13" borderId="0" applyAlignment="0"/>
    <xf numFmtId="0" fontId="24" fillId="14" borderId="0">
      <alignment horizontal="center" vertical="center" wrapText="1"/>
    </xf>
    <xf numFmtId="0" fontId="27" fillId="16" borderId="0" applyNumberFormat="0" applyBorder="0" applyProtection="0">
      <alignment vertical="center"/>
    </xf>
  </cellStyleXfs>
  <cellXfs count="159">
    <xf numFmtId="0" fontId="0" fillId="5" borderId="0" xfId="0"/>
    <xf numFmtId="0" fontId="0" fillId="5" borderId="0" xfId="0" applyFill="1"/>
    <xf numFmtId="0" fontId="0" fillId="5" borderId="0" xfId="0" applyFill="1" applyAlignment="1">
      <alignment vertical="center"/>
    </xf>
    <xf numFmtId="0" fontId="3" fillId="5" borderId="0" xfId="0" applyFont="1" applyFill="1"/>
    <xf numFmtId="0" fontId="0" fillId="5" borderId="0" xfId="0" applyFont="1" applyFill="1"/>
    <xf numFmtId="0" fontId="4" fillId="5" borderId="0" xfId="0" applyFont="1" applyFill="1"/>
    <xf numFmtId="0" fontId="2" fillId="5" borderId="2" xfId="2" applyFill="1"/>
    <xf numFmtId="0" fontId="26" fillId="7" borderId="0" xfId="19">
      <alignment horizontal="center" vertical="center" wrapText="1"/>
    </xf>
    <xf numFmtId="0" fontId="26" fillId="7" borderId="0" xfId="19" applyBorder="1">
      <alignment horizontal="center" vertical="center" wrapText="1"/>
    </xf>
    <xf numFmtId="0" fontId="26" fillId="7" borderId="8" xfId="19" applyBorder="1">
      <alignment horizontal="center" vertical="center" wrapText="1"/>
    </xf>
    <xf numFmtId="0" fontId="0" fillId="5" borderId="0" xfId="0" applyFill="1" applyBorder="1"/>
    <xf numFmtId="0" fontId="0" fillId="5" borderId="8" xfId="0" applyFill="1" applyBorder="1"/>
    <xf numFmtId="0" fontId="15" fillId="10" borderId="0" xfId="20">
      <alignment horizontal="center" vertical="center"/>
    </xf>
    <xf numFmtId="0" fontId="0" fillId="7" borderId="0" xfId="0" applyFill="1" applyBorder="1" applyAlignment="1" applyProtection="1">
      <alignment vertical="center"/>
      <protection locked="0"/>
    </xf>
    <xf numFmtId="0" fontId="0" fillId="5" borderId="0" xfId="0" applyFill="1" applyAlignment="1">
      <alignment wrapText="1"/>
    </xf>
    <xf numFmtId="0" fontId="18" fillId="5" borderId="0" xfId="0" applyFont="1" applyFill="1"/>
    <xf numFmtId="0" fontId="0" fillId="7" borderId="7" xfId="0" applyFill="1" applyBorder="1" applyAlignment="1" applyProtection="1">
      <alignment vertical="center"/>
      <protection locked="0"/>
    </xf>
    <xf numFmtId="0" fontId="0" fillId="7" borderId="8" xfId="0" applyFill="1" applyBorder="1" applyAlignment="1" applyProtection="1">
      <alignment horizontal="left" vertical="center"/>
      <protection locked="0"/>
    </xf>
    <xf numFmtId="0" fontId="0" fillId="5" borderId="0" xfId="0" applyFill="1" applyBorder="1" applyAlignment="1">
      <alignment horizontal="center" vertical="center"/>
    </xf>
    <xf numFmtId="0" fontId="0" fillId="5" borderId="17" xfId="0" applyFill="1" applyBorder="1"/>
    <xf numFmtId="0" fontId="18" fillId="5" borderId="0" xfId="0" applyFont="1" applyFill="1" applyBorder="1" applyAlignment="1">
      <alignment horizontal="center"/>
    </xf>
    <xf numFmtId="0" fontId="18" fillId="5" borderId="0" xfId="0" applyFont="1" applyFill="1" applyBorder="1" applyAlignment="1">
      <alignment horizontal="center" vertical="center"/>
    </xf>
    <xf numFmtId="0" fontId="21" fillId="5" borderId="0" xfId="0" applyFont="1" applyFill="1" applyBorder="1" applyAlignment="1">
      <alignment horizontal="center" vertical="center"/>
    </xf>
    <xf numFmtId="0" fontId="0" fillId="5" borderId="0" xfId="0" applyFill="1" applyBorder="1" applyAlignment="1">
      <alignment horizontal="left" vertical="center"/>
    </xf>
    <xf numFmtId="0" fontId="0" fillId="5" borderId="16" xfId="0" applyFill="1" applyBorder="1" applyAlignment="1">
      <alignment horizontal="left" vertical="center"/>
    </xf>
    <xf numFmtId="0" fontId="21" fillId="5" borderId="16" xfId="0" applyFont="1" applyFill="1" applyBorder="1" applyAlignment="1">
      <alignment horizontal="center" vertical="center" wrapText="1"/>
    </xf>
    <xf numFmtId="0" fontId="0" fillId="5" borderId="15" xfId="0" applyFill="1" applyBorder="1" applyAlignment="1">
      <alignment horizontal="left" vertical="center" wrapText="1"/>
    </xf>
    <xf numFmtId="0" fontId="0" fillId="5" borderId="7" xfId="0" applyFill="1" applyBorder="1" applyAlignment="1">
      <alignment horizontal="left" vertical="center" wrapText="1"/>
    </xf>
    <xf numFmtId="0" fontId="0" fillId="5" borderId="16" xfId="0" applyFill="1" applyBorder="1" applyAlignment="1">
      <alignment horizontal="center" vertical="center"/>
    </xf>
    <xf numFmtId="2" fontId="5" fillId="9" borderId="18" xfId="22" applyBorder="1">
      <alignment horizontal="center" vertical="center"/>
    </xf>
    <xf numFmtId="2" fontId="5" fillId="9" borderId="19" xfId="22" applyBorder="1">
      <alignment horizontal="center" vertical="center"/>
    </xf>
    <xf numFmtId="0" fontId="11" fillId="5" borderId="0" xfId="14" applyFill="1"/>
    <xf numFmtId="2" fontId="0" fillId="5" borderId="0" xfId="0" applyNumberFormat="1" applyFill="1"/>
    <xf numFmtId="0" fontId="9" fillId="5" borderId="1" xfId="1" applyFill="1"/>
    <xf numFmtId="0" fontId="0" fillId="5" borderId="10" xfId="0" applyFill="1" applyBorder="1" applyAlignment="1">
      <alignment horizontal="left" vertical="center"/>
    </xf>
    <xf numFmtId="0" fontId="0" fillId="5" borderId="0" xfId="0" applyFill="1" applyAlignment="1">
      <alignment horizontal="right"/>
    </xf>
    <xf numFmtId="0" fontId="5" fillId="8" borderId="6" xfId="21" applyBorder="1" applyAlignment="1">
      <alignment horizontal="center" vertical="center"/>
    </xf>
    <xf numFmtId="0" fontId="16" fillId="6" borderId="12" xfId="0" applyFont="1" applyFill="1" applyBorder="1" applyAlignment="1" applyProtection="1">
      <alignment vertical="center"/>
      <protection locked="0"/>
    </xf>
    <xf numFmtId="0" fontId="16" fillId="6" borderId="13" xfId="0" applyFont="1" applyFill="1" applyBorder="1" applyAlignment="1" applyProtection="1">
      <alignment vertical="center"/>
      <protection locked="0"/>
    </xf>
    <xf numFmtId="0" fontId="16" fillId="6" borderId="14" xfId="0" applyFont="1" applyFill="1" applyBorder="1" applyAlignment="1" applyProtection="1">
      <alignment vertical="center"/>
      <protection locked="0"/>
    </xf>
    <xf numFmtId="0" fontId="9" fillId="5" borderId="1" xfId="12" applyFill="1" applyAlignment="1">
      <alignment horizontal="left"/>
    </xf>
    <xf numFmtId="0" fontId="11" fillId="5" borderId="0" xfId="14" applyFill="1"/>
    <xf numFmtId="0" fontId="22" fillId="5" borderId="0" xfId="0" applyFont="1" applyFill="1"/>
    <xf numFmtId="0" fontId="9" fillId="5" borderId="1" xfId="12" applyFill="1" applyAlignment="1">
      <alignment horizontal="left"/>
    </xf>
    <xf numFmtId="0" fontId="2" fillId="5" borderId="2" xfId="2" applyFill="1" applyAlignment="1">
      <alignment horizontal="left"/>
    </xf>
    <xf numFmtId="0" fontId="26" fillId="5" borderId="0" xfId="19" applyFill="1" applyAlignment="1">
      <alignment horizontal="left" vertical="center" wrapText="1"/>
    </xf>
    <xf numFmtId="0" fontId="5" fillId="0" borderId="0" xfId="8"/>
    <xf numFmtId="0" fontId="11" fillId="5" borderId="0" xfId="16" applyFill="1"/>
    <xf numFmtId="0" fontId="14" fillId="11" borderId="0" xfId="23">
      <alignment horizontal="center" vertical="center"/>
    </xf>
    <xf numFmtId="0" fontId="24" fillId="14" borderId="0" xfId="28">
      <alignment horizontal="center" vertical="center" wrapText="1"/>
    </xf>
    <xf numFmtId="0" fontId="0" fillId="11" borderId="0" xfId="23" applyFont="1">
      <alignment horizontal="center" vertical="center"/>
    </xf>
    <xf numFmtId="0" fontId="25" fillId="5" borderId="0" xfId="0" applyFont="1" applyAlignment="1"/>
    <xf numFmtId="0" fontId="22" fillId="5" borderId="0" xfId="0" applyFont="1"/>
    <xf numFmtId="0" fontId="25" fillId="5" borderId="0" xfId="0" applyFont="1"/>
    <xf numFmtId="0" fontId="0" fillId="5" borderId="6" xfId="0" applyBorder="1"/>
    <xf numFmtId="0" fontId="25" fillId="5" borderId="0" xfId="0" applyFont="1" applyAlignment="1">
      <alignment horizontal="center"/>
    </xf>
    <xf numFmtId="0" fontId="0" fillId="5" borderId="0" xfId="0"/>
    <xf numFmtId="0" fontId="0" fillId="15" borderId="0" xfId="0" applyFill="1"/>
    <xf numFmtId="0" fontId="25" fillId="15" borderId="0" xfId="0" applyFont="1" applyFill="1"/>
    <xf numFmtId="0" fontId="25" fillId="5" borderId="0" xfId="0" applyFont="1" applyFill="1" applyAlignment="1"/>
    <xf numFmtId="0" fontId="15" fillId="5" borderId="0" xfId="20" applyFill="1" applyBorder="1">
      <alignment horizontal="center" vertical="center"/>
    </xf>
    <xf numFmtId="0" fontId="15" fillId="5" borderId="0" xfId="20" applyFill="1" applyBorder="1" applyAlignment="1">
      <alignment horizontal="right"/>
    </xf>
    <xf numFmtId="0" fontId="15" fillId="5" borderId="0" xfId="20" applyFill="1" applyBorder="1" applyAlignment="1">
      <alignment horizontal="center"/>
    </xf>
    <xf numFmtId="0" fontId="0" fillId="5" borderId="0" xfId="0" applyBorder="1"/>
    <xf numFmtId="0" fontId="0" fillId="5" borderId="0" xfId="0" applyFont="1" applyBorder="1"/>
    <xf numFmtId="0" fontId="0" fillId="5" borderId="0" xfId="0" applyBorder="1" applyAlignment="1">
      <alignment wrapText="1"/>
    </xf>
    <xf numFmtId="11" fontId="14" fillId="12" borderId="0" xfId="24" applyNumberFormat="1">
      <alignment horizontal="center" vertical="center" wrapText="1"/>
    </xf>
    <xf numFmtId="11" fontId="15" fillId="10" borderId="0" xfId="20" applyNumberFormat="1" applyAlignment="1">
      <alignment horizontal="center" vertical="center"/>
    </xf>
    <xf numFmtId="11" fontId="14" fillId="7" borderId="0" xfId="18" applyNumberFormat="1" applyBorder="1">
      <alignment horizontal="center" vertical="center" wrapText="1"/>
    </xf>
    <xf numFmtId="11" fontId="15" fillId="10" borderId="0" xfId="20" applyNumberFormat="1" applyBorder="1" applyAlignment="1">
      <alignment horizontal="center"/>
    </xf>
    <xf numFmtId="0" fontId="0" fillId="15" borderId="0" xfId="0" applyFill="1" applyBorder="1"/>
    <xf numFmtId="0" fontId="0" fillId="15" borderId="0" xfId="0" applyFill="1" applyBorder="1" applyAlignment="1">
      <alignment wrapText="1"/>
    </xf>
    <xf numFmtId="0" fontId="22" fillId="5" borderId="0" xfId="0" applyFont="1" applyAlignment="1"/>
    <xf numFmtId="14" fontId="0" fillId="5" borderId="0" xfId="0" applyNumberFormat="1"/>
    <xf numFmtId="0" fontId="0" fillId="5" borderId="0" xfId="0"/>
    <xf numFmtId="0" fontId="26" fillId="7" borderId="0" xfId="19" applyAlignment="1">
      <alignment horizontal="center" vertical="center" textRotation="90" wrapText="1"/>
    </xf>
    <xf numFmtId="0" fontId="5" fillId="8" borderId="6" xfId="21" applyAlignment="1">
      <alignment horizontal="center" vertical="center"/>
    </xf>
    <xf numFmtId="0" fontId="5" fillId="8" borderId="11" xfId="21" applyBorder="1" applyAlignment="1">
      <alignment horizontal="center" vertical="center"/>
    </xf>
    <xf numFmtId="0" fontId="14" fillId="7" borderId="0" xfId="18" applyAlignment="1">
      <alignment horizontal="left" vertical="center" wrapText="1"/>
    </xf>
    <xf numFmtId="0" fontId="26" fillId="7" borderId="0" xfId="19" applyBorder="1" applyAlignment="1">
      <alignment horizontal="left" vertical="center" wrapText="1"/>
    </xf>
    <xf numFmtId="0" fontId="14" fillId="7" borderId="0" xfId="18" applyBorder="1" applyAlignment="1">
      <alignment horizontal="left" vertical="center" wrapText="1"/>
    </xf>
    <xf numFmtId="0" fontId="26" fillId="7" borderId="0" xfId="19" applyAlignment="1">
      <alignment horizontal="center" vertical="center" wrapText="1"/>
    </xf>
    <xf numFmtId="0" fontId="0" fillId="5" borderId="0" xfId="0" applyBorder="1" applyAlignment="1">
      <alignment horizontal="left"/>
    </xf>
    <xf numFmtId="11" fontId="0" fillId="5" borderId="0" xfId="0" applyNumberFormat="1" applyBorder="1"/>
    <xf numFmtId="0" fontId="9" fillId="5" borderId="1" xfId="12" applyFill="1" applyAlignment="1">
      <alignment horizontal="left"/>
    </xf>
    <xf numFmtId="0" fontId="22" fillId="5" borderId="0" xfId="0" applyFont="1" applyAlignment="1">
      <alignment horizontal="left"/>
    </xf>
    <xf numFmtId="0" fontId="0" fillId="5" borderId="0" xfId="0" applyAlignment="1"/>
    <xf numFmtId="0" fontId="26" fillId="7" borderId="0" xfId="19" applyAlignment="1">
      <alignment horizontal="left" vertical="center" wrapText="1"/>
    </xf>
    <xf numFmtId="0" fontId="26" fillId="7" borderId="0" xfId="19" applyAlignment="1">
      <alignment horizontal="left" vertical="center"/>
    </xf>
    <xf numFmtId="0" fontId="14" fillId="7" borderId="0" xfId="18">
      <alignment horizontal="center" vertical="center" wrapText="1"/>
    </xf>
    <xf numFmtId="0" fontId="9" fillId="5" borderId="1" xfId="12" applyFill="1" applyAlignment="1">
      <alignment horizontal="left"/>
    </xf>
    <xf numFmtId="0" fontId="26" fillId="7" borderId="0" xfId="19" applyAlignment="1">
      <alignment horizontal="left" vertical="center"/>
    </xf>
    <xf numFmtId="0" fontId="2" fillId="5" borderId="2" xfId="2" applyFill="1" applyAlignment="1">
      <alignment horizontal="left"/>
    </xf>
    <xf numFmtId="0" fontId="26" fillId="7" borderId="0" xfId="19" applyBorder="1" applyAlignment="1">
      <alignment vertical="center" wrapText="1"/>
    </xf>
    <xf numFmtId="0" fontId="14" fillId="7" borderId="0" xfId="18" applyAlignment="1">
      <alignment vertical="center" wrapText="1"/>
    </xf>
    <xf numFmtId="0" fontId="15" fillId="10" borderId="0" xfId="20" applyAlignment="1">
      <alignment horizontal="right" vertical="center" wrapText="1"/>
    </xf>
    <xf numFmtId="0" fontId="15" fillId="10" borderId="0" xfId="20" applyAlignment="1">
      <alignment horizontal="left" vertical="center" wrapText="1"/>
    </xf>
    <xf numFmtId="11" fontId="15" fillId="10" borderId="0" xfId="20" applyNumberFormat="1">
      <alignment horizontal="center" vertical="center"/>
    </xf>
    <xf numFmtId="0" fontId="0" fillId="5" borderId="0" xfId="0" applyAlignment="1">
      <alignment horizontal="center"/>
    </xf>
    <xf numFmtId="0" fontId="0" fillId="5" borderId="0" xfId="0" applyFill="1" applyAlignment="1">
      <alignment horizontal="center"/>
    </xf>
    <xf numFmtId="0" fontId="15" fillId="5" borderId="0" xfId="20" applyFill="1" applyBorder="1" applyAlignment="1">
      <alignment horizontal="center" vertical="center"/>
    </xf>
    <xf numFmtId="0" fontId="0" fillId="5" borderId="0" xfId="0" applyFill="1" applyBorder="1" applyAlignment="1">
      <alignment horizontal="center"/>
    </xf>
    <xf numFmtId="0" fontId="0" fillId="5" borderId="0" xfId="0" applyAlignment="1">
      <alignment horizontal="center" vertical="center" wrapText="1"/>
    </xf>
    <xf numFmtId="0" fontId="0" fillId="5" borderId="0" xfId="0" applyAlignment="1">
      <alignment horizontal="center" vertical="center"/>
    </xf>
    <xf numFmtId="0" fontId="0" fillId="5" borderId="6" xfId="0" applyBorder="1" applyAlignment="1">
      <alignment horizontal="center" vertical="center" wrapText="1"/>
    </xf>
    <xf numFmtId="11" fontId="0" fillId="5" borderId="6" xfId="0" applyNumberFormat="1" applyBorder="1" applyAlignment="1">
      <alignment horizontal="center" vertical="center"/>
    </xf>
    <xf numFmtId="0" fontId="22" fillId="5" borderId="0" xfId="0" applyFont="1" applyAlignment="1">
      <alignment horizontal="right"/>
    </xf>
    <xf numFmtId="0" fontId="0" fillId="5" borderId="6" xfId="0" applyBorder="1" applyAlignment="1">
      <alignment vertical="center"/>
    </xf>
    <xf numFmtId="0" fontId="0" fillId="5" borderId="9" xfId="0" applyFill="1" applyBorder="1" applyAlignment="1">
      <alignment vertical="center"/>
    </xf>
    <xf numFmtId="0" fontId="22" fillId="5" borderId="0" xfId="0" applyFont="1" applyFill="1" applyAlignment="1">
      <alignment vertical="center"/>
    </xf>
    <xf numFmtId="0" fontId="26" fillId="7" borderId="0" xfId="19" applyAlignment="1">
      <alignment horizontal="right" vertical="center"/>
    </xf>
    <xf numFmtId="0" fontId="26" fillId="7" borderId="0" xfId="19" applyAlignment="1">
      <alignment horizontal="center" vertical="center"/>
    </xf>
    <xf numFmtId="0" fontId="26" fillId="7" borderId="7" xfId="19" applyBorder="1" applyAlignment="1">
      <alignment horizontal="left" vertical="center" wrapText="1"/>
    </xf>
    <xf numFmtId="0" fontId="27" fillId="16" borderId="0" xfId="29" applyAlignment="1">
      <alignment horizontal="left"/>
    </xf>
    <xf numFmtId="0" fontId="0" fillId="5" borderId="0" xfId="0" applyAlignment="1">
      <alignment vertical="top"/>
    </xf>
    <xf numFmtId="0" fontId="9" fillId="5" borderId="1" xfId="12" applyFill="1"/>
    <xf numFmtId="0" fontId="11" fillId="5" borderId="0" xfId="16" applyFill="1" applyAlignment="1">
      <alignment vertical="center" wrapText="1"/>
    </xf>
    <xf numFmtId="0" fontId="14" fillId="11" borderId="0" xfId="23" applyAlignment="1">
      <alignment vertical="center"/>
    </xf>
    <xf numFmtId="2" fontId="0" fillId="5" borderId="0" xfId="0" applyNumberFormat="1"/>
    <xf numFmtId="11" fontId="0" fillId="5" borderId="0" xfId="0" applyNumberFormat="1"/>
    <xf numFmtId="0" fontId="0" fillId="5" borderId="0" xfId="0" applyAlignment="1">
      <alignment vertical="center"/>
    </xf>
    <xf numFmtId="2" fontId="0" fillId="11" borderId="0" xfId="23" applyNumberFormat="1" applyFont="1">
      <alignment horizontal="center" vertical="center"/>
    </xf>
    <xf numFmtId="0" fontId="28" fillId="5" borderId="0" xfId="8" applyFont="1" applyFill="1"/>
    <xf numFmtId="0" fontId="15" fillId="10" borderId="0" xfId="20" applyAlignment="1">
      <alignment horizontal="right"/>
    </xf>
    <xf numFmtId="11" fontId="14" fillId="7" borderId="0" xfId="18" applyNumberFormat="1">
      <alignment horizontal="center" vertical="center" wrapText="1"/>
    </xf>
    <xf numFmtId="11" fontId="14" fillId="7" borderId="0" xfId="18" applyNumberFormat="1">
      <alignment horizontal="center" vertical="center" wrapText="1"/>
    </xf>
    <xf numFmtId="0" fontId="0" fillId="5" borderId="20" xfId="0" applyBorder="1" applyAlignment="1">
      <alignment horizontal="left"/>
    </xf>
    <xf numFmtId="0" fontId="0" fillId="5" borderId="21" xfId="0" applyBorder="1" applyAlignment="1">
      <alignment horizontal="left"/>
    </xf>
    <xf numFmtId="0" fontId="15" fillId="10" borderId="0" xfId="20" applyAlignment="1">
      <alignment horizontal="right"/>
    </xf>
    <xf numFmtId="11" fontId="29" fillId="17" borderId="0" xfId="23" applyNumberFormat="1" applyFont="1" applyFill="1" applyBorder="1">
      <alignment horizontal="center" vertical="center"/>
    </xf>
    <xf numFmtId="0" fontId="0" fillId="5" borderId="20" xfId="0" applyBorder="1" applyAlignment="1">
      <alignment horizontal="center" vertical="center" textRotation="90" wrapText="1"/>
    </xf>
    <xf numFmtId="0" fontId="15" fillId="0" borderId="0" xfId="0" applyFont="1" applyFill="1" applyAlignment="1">
      <alignment vertical="center"/>
    </xf>
    <xf numFmtId="0" fontId="0" fillId="0" borderId="0" xfId="0" applyFill="1" applyAlignment="1">
      <alignment vertical="center"/>
    </xf>
    <xf numFmtId="14" fontId="15" fillId="0" borderId="0" xfId="0" applyNumberFormat="1" applyFont="1" applyFill="1" applyAlignment="1">
      <alignment vertical="top"/>
    </xf>
    <xf numFmtId="0" fontId="0" fillId="5" borderId="0" xfId="0" applyAlignment="1">
      <alignment horizontal="left" vertical="center" wrapText="1"/>
    </xf>
    <xf numFmtId="0" fontId="15" fillId="0" borderId="0" xfId="0" applyFont="1" applyFill="1" applyAlignment="1">
      <alignment horizontal="left" vertical="top" wrapText="1"/>
    </xf>
    <xf numFmtId="0" fontId="9" fillId="5" borderId="1" xfId="1" applyFill="1"/>
    <xf numFmtId="0" fontId="0" fillId="5" borderId="0" xfId="0" applyAlignment="1">
      <alignment vertical="center" wrapText="1"/>
    </xf>
    <xf numFmtId="0" fontId="0" fillId="5" borderId="0" xfId="0" applyFill="1" applyAlignment="1">
      <alignment horizontal="left" vertical="center" wrapText="1"/>
    </xf>
    <xf numFmtId="0" fontId="9" fillId="5" borderId="1" xfId="12" applyFill="1" applyAlignment="1">
      <alignment horizontal="left" vertical="center" wrapText="1"/>
    </xf>
    <xf numFmtId="0" fontId="9" fillId="5" borderId="1" xfId="12" applyFill="1" applyAlignment="1">
      <alignment horizontal="left"/>
    </xf>
    <xf numFmtId="0" fontId="13" fillId="6" borderId="7" xfId="17" applyBorder="1" applyAlignment="1">
      <alignment horizontal="left"/>
    </xf>
    <xf numFmtId="0" fontId="13" fillId="6" borderId="0" xfId="17" applyBorder="1" applyAlignment="1">
      <alignment horizontal="left"/>
    </xf>
    <xf numFmtId="0" fontId="13" fillId="6" borderId="8" xfId="17" applyBorder="1" applyAlignment="1">
      <alignment horizontal="left"/>
    </xf>
    <xf numFmtId="0" fontId="2" fillId="0" borderId="2" xfId="2" applyAlignment="1">
      <alignment horizontal="left"/>
    </xf>
    <xf numFmtId="0" fontId="0" fillId="5" borderId="20" xfId="0" applyBorder="1" applyAlignment="1">
      <alignment horizontal="left"/>
    </xf>
    <xf numFmtId="0" fontId="0" fillId="5" borderId="21" xfId="0" applyBorder="1" applyAlignment="1">
      <alignment horizontal="left"/>
    </xf>
    <xf numFmtId="0" fontId="25" fillId="5" borderId="0" xfId="0" applyFont="1" applyAlignment="1">
      <alignment horizontal="left"/>
    </xf>
    <xf numFmtId="0" fontId="22" fillId="5" borderId="0" xfId="0" applyFont="1" applyAlignment="1">
      <alignment horizontal="left"/>
    </xf>
    <xf numFmtId="0" fontId="0" fillId="5" borderId="0" xfId="0" applyAlignment="1"/>
    <xf numFmtId="0" fontId="15" fillId="10" borderId="0" xfId="20" applyBorder="1" applyAlignment="1">
      <alignment horizontal="right"/>
    </xf>
    <xf numFmtId="0" fontId="9" fillId="5" borderId="1" xfId="1" applyFill="1" applyAlignment="1">
      <alignment horizontal="left" wrapText="1"/>
    </xf>
    <xf numFmtId="0" fontId="13" fillId="6" borderId="0" xfId="17" applyAlignment="1">
      <alignment horizontal="left"/>
    </xf>
    <xf numFmtId="0" fontId="26" fillId="7" borderId="0" xfId="19" applyAlignment="1">
      <alignment horizontal="left" vertical="center"/>
    </xf>
    <xf numFmtId="0" fontId="15" fillId="10" borderId="0" xfId="20" applyAlignment="1">
      <alignment horizontal="right"/>
    </xf>
    <xf numFmtId="0" fontId="9" fillId="5" borderId="1" xfId="1" applyFill="1" applyAlignment="1">
      <alignment wrapText="1"/>
    </xf>
    <xf numFmtId="0" fontId="2" fillId="5" borderId="2" xfId="2" applyFill="1" applyAlignment="1">
      <alignment horizontal="left"/>
    </xf>
    <xf numFmtId="11" fontId="14" fillId="7" borderId="0" xfId="18" applyNumberFormat="1">
      <alignment horizontal="center" vertical="center" wrapText="1"/>
    </xf>
    <xf numFmtId="11" fontId="14" fillId="7" borderId="0" xfId="18" applyNumberFormat="1" applyAlignment="1">
      <alignment horizontal="center" vertical="center"/>
    </xf>
  </cellXfs>
  <cellStyles count="30">
    <cellStyle name="1_Input" xfId="21" xr:uid="{00000000-0005-0000-0000-000000000000}"/>
    <cellStyle name="1_Output" xfId="22" xr:uid="{00000000-0005-0000-0000-000001000000}"/>
    <cellStyle name="Ausgabe" xfId="5" builtinId="21" customBuiltin="1"/>
    <cellStyle name="Berechnung" xfId="6" builtinId="22" customBuiltin="1"/>
    <cellStyle name="Boat" xfId="28" xr:uid="{00000000-0005-0000-0000-000004000000}"/>
    <cellStyle name="Calculated Output" xfId="24" xr:uid="{00000000-0005-0000-0000-000005000000}"/>
    <cellStyle name="Calculation 2" xfId="15" xr:uid="{00000000-0005-0000-0000-000006000000}"/>
    <cellStyle name="Check Cell 2" xfId="11" xr:uid="{00000000-0005-0000-0000-000007000000}"/>
    <cellStyle name="Eingabe" xfId="4" builtinId="20" customBuiltin="1"/>
    <cellStyle name="Gut" xfId="29" builtinId="26" customBuiltin="1"/>
    <cellStyle name="Heading 1 2" xfId="12" xr:uid="{00000000-0005-0000-0000-00000A000000}"/>
    <cellStyle name="Heading 1 3" xfId="26" xr:uid="{00000000-0005-0000-0000-00000B000000}"/>
    <cellStyle name="Heading 4 2" xfId="13" xr:uid="{00000000-0005-0000-0000-00000C000000}"/>
    <cellStyle name="Input 2" xfId="9" xr:uid="{00000000-0005-0000-0000-00000D000000}"/>
    <cellStyle name="MAMPEC_Input" xfId="23" xr:uid="{00000000-0005-0000-0000-00000F000000}"/>
    <cellStyle name="Normal 2" xfId="14" xr:uid="{00000000-0005-0000-0000-000010000000}"/>
    <cellStyle name="Normal 2 2" xfId="16" xr:uid="{00000000-0005-0000-0000-000011000000}"/>
    <cellStyle name="Normal 3" xfId="8" xr:uid="{00000000-0005-0000-0000-000012000000}"/>
    <cellStyle name="Normal 4" xfId="25" xr:uid="{00000000-0005-0000-0000-000013000000}"/>
    <cellStyle name="Output 2" xfId="10" xr:uid="{00000000-0005-0000-0000-000014000000}"/>
    <cellStyle name="Standard" xfId="0" builtinId="0" customBuiltin="1"/>
    <cellStyle name="Statistics" xfId="20" xr:uid="{00000000-0005-0000-0000-000016000000}"/>
    <cellStyle name="Statistics 2" xfId="27" xr:uid="{00000000-0005-0000-0000-000017000000}"/>
    <cellStyle name="Table Column Heading" xfId="19" xr:uid="{00000000-0005-0000-0000-000018000000}"/>
    <cellStyle name="Table Content" xfId="18" xr:uid="{00000000-0005-0000-0000-000019000000}"/>
    <cellStyle name="Table Title" xfId="17" xr:uid="{00000000-0005-0000-0000-00001A000000}"/>
    <cellStyle name="Überschrift 1" xfId="1" builtinId="16" customBuiltin="1"/>
    <cellStyle name="Überschrift 2" xfId="2" builtinId="17"/>
    <cellStyle name="Überschrift 4" xfId="3" builtinId="19" customBuiltin="1"/>
    <cellStyle name="Zelle überprüfen" xfId="7" builtinId="23" customBuiltin="1"/>
  </cellStyles>
  <dxfs count="24">
    <dxf>
      <fill>
        <patternFill>
          <bgColor theme="6" tint="0.39994506668294322"/>
        </patternFill>
      </fill>
    </dxf>
    <dxf>
      <fill>
        <patternFill>
          <bgColor theme="5" tint="0.39994506668294322"/>
        </patternFill>
      </fill>
    </dxf>
    <dxf>
      <fill>
        <patternFill>
          <bgColor theme="6"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11</xdr:col>
      <xdr:colOff>0</xdr:colOff>
      <xdr:row>28</xdr:row>
      <xdr:rowOff>0</xdr:rowOff>
    </xdr:from>
    <xdr:to>
      <xdr:col>11</xdr:col>
      <xdr:colOff>2038350</xdr:colOff>
      <xdr:row>28</xdr:row>
      <xdr:rowOff>625928</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988393" y="8273143"/>
          <a:ext cx="2038350" cy="625928"/>
        </a:xfrm>
        <a:prstGeom prst="rect">
          <a:avLst/>
        </a:prstGeom>
      </xdr:spPr>
    </xdr:pic>
    <xdr:clientData/>
  </xdr:twoCellAnchor>
  <xdr:twoCellAnchor editAs="oneCell">
    <xdr:from>
      <xdr:col>11</xdr:col>
      <xdr:colOff>0</xdr:colOff>
      <xdr:row>28</xdr:row>
      <xdr:rowOff>466725</xdr:rowOff>
    </xdr:from>
    <xdr:to>
      <xdr:col>11</xdr:col>
      <xdr:colOff>2228850</xdr:colOff>
      <xdr:row>29</xdr:row>
      <xdr:rowOff>669471</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973425" y="7572375"/>
          <a:ext cx="2228850" cy="8858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0</xdr:colOff>
      <xdr:row>28</xdr:row>
      <xdr:rowOff>0</xdr:rowOff>
    </xdr:from>
    <xdr:to>
      <xdr:col>11</xdr:col>
      <xdr:colOff>2038350</xdr:colOff>
      <xdr:row>28</xdr:row>
      <xdr:rowOff>625928</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992475" y="6410325"/>
          <a:ext cx="2038350" cy="625928"/>
        </a:xfrm>
        <a:prstGeom prst="rect">
          <a:avLst/>
        </a:prstGeom>
      </xdr:spPr>
    </xdr:pic>
    <xdr:clientData/>
  </xdr:twoCellAnchor>
  <xdr:twoCellAnchor editAs="oneCell">
    <xdr:from>
      <xdr:col>11</xdr:col>
      <xdr:colOff>0</xdr:colOff>
      <xdr:row>28</xdr:row>
      <xdr:rowOff>466725</xdr:rowOff>
    </xdr:from>
    <xdr:to>
      <xdr:col>11</xdr:col>
      <xdr:colOff>2228850</xdr:colOff>
      <xdr:row>29</xdr:row>
      <xdr:rowOff>669471</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992475" y="6877050"/>
          <a:ext cx="2228850" cy="88854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9</xdr:col>
      <xdr:colOff>17905</xdr:colOff>
      <xdr:row>29</xdr:row>
      <xdr:rowOff>75724</xdr:rowOff>
    </xdr:to>
    <xdr:pic>
      <xdr:nvPicPr>
        <xdr:cNvPr id="3" name="Picture 2">
          <a:extLst>
            <a:ext uri="{FF2B5EF4-FFF2-40B4-BE49-F238E27FC236}">
              <a16:creationId xmlns:a16="http://schemas.microsoft.com/office/drawing/2014/main" id="{00000000-0008-0000-1A00-000003000000}"/>
            </a:ext>
          </a:extLst>
        </xdr:cNvPr>
        <xdr:cNvPicPr>
          <a:picLocks noChangeAspect="1"/>
        </xdr:cNvPicPr>
      </xdr:nvPicPr>
      <xdr:blipFill>
        <a:blip xmlns:r="http://schemas.openxmlformats.org/officeDocument/2006/relationships" r:embed="rId1"/>
        <a:stretch>
          <a:fillRect/>
        </a:stretch>
      </xdr:blipFill>
      <xdr:spPr>
        <a:xfrm>
          <a:off x="685800" y="1323975"/>
          <a:ext cx="9161905" cy="380952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8</xdr:col>
      <xdr:colOff>427515</xdr:colOff>
      <xdr:row>41</xdr:row>
      <xdr:rowOff>123090</xdr:rowOff>
    </xdr:to>
    <xdr:pic>
      <xdr:nvPicPr>
        <xdr:cNvPr id="2" name="Picture 1">
          <a:extLst>
            <a:ext uri="{FF2B5EF4-FFF2-40B4-BE49-F238E27FC236}">
              <a16:creationId xmlns:a16="http://schemas.microsoft.com/office/drawing/2014/main" id="{00000000-0008-0000-1B00-000002000000}"/>
            </a:ext>
          </a:extLst>
        </xdr:cNvPr>
        <xdr:cNvPicPr>
          <a:picLocks noChangeAspect="1"/>
        </xdr:cNvPicPr>
      </xdr:nvPicPr>
      <xdr:blipFill>
        <a:blip xmlns:r="http://schemas.openxmlformats.org/officeDocument/2006/relationships" r:embed="rId1"/>
        <a:stretch>
          <a:fillRect/>
        </a:stretch>
      </xdr:blipFill>
      <xdr:spPr>
        <a:xfrm>
          <a:off x="685800" y="1323975"/>
          <a:ext cx="8885715" cy="588571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C000"/>
  </sheetPr>
  <dimension ref="B1:Z46"/>
  <sheetViews>
    <sheetView tabSelected="1" zoomScale="90" zoomScaleNormal="90" workbookViewId="0">
      <selection activeCell="L6" sqref="L6"/>
    </sheetView>
  </sheetViews>
  <sheetFormatPr baseColWidth="10" defaultColWidth="9" defaultRowHeight="12.75" x14ac:dyDescent="0.2"/>
  <cols>
    <col min="1" max="1" width="9" style="74"/>
    <col min="2" max="3" width="19.5" style="114" customWidth="1"/>
    <col min="4" max="4" width="9" style="114"/>
    <col min="5" max="16384" width="9" style="74"/>
  </cols>
  <sheetData>
    <row r="1" spans="2:26" x14ac:dyDescent="0.2">
      <c r="B1" s="74"/>
      <c r="C1" s="74"/>
      <c r="D1" s="74"/>
    </row>
    <row r="2" spans="2:26" ht="21" customHeight="1" thickBot="1" x14ac:dyDescent="0.35">
      <c r="B2" s="136" t="s">
        <v>90</v>
      </c>
      <c r="C2" s="136"/>
      <c r="D2" s="136"/>
      <c r="E2" s="136"/>
      <c r="F2" s="136"/>
      <c r="G2" s="136"/>
      <c r="H2" s="136"/>
      <c r="I2" s="136"/>
      <c r="J2" s="136"/>
      <c r="K2" s="136"/>
      <c r="L2" s="136"/>
      <c r="M2" s="136"/>
      <c r="N2" s="136"/>
      <c r="O2" s="136"/>
    </row>
    <row r="3" spans="2:26" ht="13.5" thickTop="1" x14ac:dyDescent="0.2">
      <c r="B3" s="120" t="s">
        <v>159</v>
      </c>
      <c r="C3" s="74"/>
      <c r="D3" s="74"/>
    </row>
    <row r="4" spans="2:26" x14ac:dyDescent="0.2">
      <c r="B4" s="74" t="s">
        <v>145</v>
      </c>
      <c r="C4" s="74"/>
      <c r="D4" s="74"/>
    </row>
    <row r="5" spans="2:26" x14ac:dyDescent="0.2">
      <c r="B5" s="120" t="s">
        <v>191</v>
      </c>
      <c r="C5" s="120"/>
      <c r="D5" s="120"/>
      <c r="E5" s="120"/>
      <c r="F5" s="120"/>
      <c r="G5" s="120"/>
      <c r="H5" s="120"/>
      <c r="I5" s="120"/>
      <c r="J5" s="120"/>
      <c r="K5" s="120"/>
      <c r="L5" s="120"/>
      <c r="M5" s="120"/>
      <c r="N5" s="120"/>
      <c r="O5" s="120"/>
      <c r="P5" s="120"/>
      <c r="Q5" s="120"/>
      <c r="R5" s="120"/>
      <c r="S5" s="120"/>
      <c r="T5" s="120"/>
      <c r="U5" s="120"/>
      <c r="V5" s="120"/>
      <c r="W5" s="120"/>
      <c r="X5" s="120"/>
      <c r="Y5" s="120"/>
      <c r="Z5" s="120"/>
    </row>
    <row r="6" spans="2:26" ht="80.099999999999994" customHeight="1" x14ac:dyDescent="0.2">
      <c r="B6" s="120"/>
      <c r="C6" s="120"/>
      <c r="D6" s="120"/>
      <c r="E6" s="120"/>
      <c r="F6" s="120"/>
      <c r="G6" s="120"/>
      <c r="H6" s="120"/>
      <c r="I6" s="120"/>
      <c r="J6" s="120"/>
      <c r="K6" s="120"/>
      <c r="L6" s="120"/>
      <c r="M6" s="120"/>
      <c r="N6" s="120"/>
      <c r="O6" s="120"/>
      <c r="P6" s="120"/>
      <c r="Q6" s="120"/>
      <c r="R6" s="120"/>
      <c r="S6" s="120"/>
      <c r="T6" s="120"/>
      <c r="U6" s="120"/>
      <c r="V6" s="120"/>
      <c r="W6" s="120"/>
      <c r="X6" s="120"/>
      <c r="Y6" s="120"/>
      <c r="Z6" s="120"/>
    </row>
    <row r="7" spans="2:26" x14ac:dyDescent="0.2">
      <c r="B7" s="137" t="s">
        <v>192</v>
      </c>
      <c r="C7" s="137"/>
      <c r="D7" s="137"/>
      <c r="E7" s="137"/>
      <c r="F7" s="137"/>
      <c r="G7" s="137"/>
      <c r="H7" s="137"/>
      <c r="I7" s="137"/>
      <c r="J7" s="137"/>
      <c r="K7" s="137"/>
      <c r="L7" s="137"/>
      <c r="M7" s="137"/>
      <c r="N7" s="137"/>
      <c r="O7" s="137"/>
      <c r="P7" s="137"/>
      <c r="Q7" s="120"/>
      <c r="R7" s="120"/>
      <c r="S7" s="120"/>
      <c r="T7" s="120"/>
      <c r="U7" s="120"/>
      <c r="V7" s="120"/>
      <c r="W7" s="120"/>
      <c r="X7" s="120"/>
      <c r="Y7" s="120"/>
      <c r="Z7" s="120"/>
    </row>
    <row r="8" spans="2:26" x14ac:dyDescent="0.2">
      <c r="B8" s="120"/>
      <c r="C8" s="120"/>
      <c r="D8" s="120"/>
      <c r="E8" s="120"/>
      <c r="F8" s="120"/>
      <c r="G8" s="120"/>
      <c r="H8" s="120"/>
      <c r="I8" s="120"/>
      <c r="J8" s="120"/>
      <c r="K8" s="120"/>
      <c r="L8" s="120"/>
      <c r="M8" s="120"/>
      <c r="N8" s="120"/>
      <c r="O8" s="120"/>
      <c r="P8" s="120"/>
      <c r="Q8" s="120"/>
      <c r="R8" s="120"/>
      <c r="S8" s="120"/>
      <c r="T8" s="120"/>
      <c r="U8" s="120"/>
      <c r="V8" s="120"/>
      <c r="W8" s="120"/>
      <c r="X8" s="120"/>
      <c r="Y8" s="120"/>
      <c r="Z8" s="120"/>
    </row>
    <row r="9" spans="2:26" x14ac:dyDescent="0.2">
      <c r="B9" s="120"/>
      <c r="C9" s="120"/>
      <c r="D9" s="120"/>
      <c r="E9" s="120"/>
      <c r="F9" s="120"/>
      <c r="G9" s="120"/>
      <c r="H9" s="120"/>
      <c r="I9" s="120"/>
      <c r="J9" s="120"/>
      <c r="K9" s="120"/>
      <c r="L9" s="120"/>
      <c r="M9" s="120"/>
      <c r="N9" s="120"/>
      <c r="O9" s="120"/>
      <c r="P9" s="120"/>
      <c r="Q9" s="120"/>
      <c r="R9" s="120"/>
      <c r="S9" s="120"/>
      <c r="T9" s="120"/>
      <c r="U9" s="120"/>
      <c r="V9" s="120"/>
      <c r="W9" s="120"/>
      <c r="X9" s="120"/>
      <c r="Y9" s="120"/>
      <c r="Z9" s="120"/>
    </row>
    <row r="10" spans="2:26" x14ac:dyDescent="0.2">
      <c r="B10" s="120"/>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row>
    <row r="11" spans="2:26" x14ac:dyDescent="0.2">
      <c r="B11" s="120" t="s">
        <v>138</v>
      </c>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row>
    <row r="12" spans="2:26" x14ac:dyDescent="0.2">
      <c r="B12" s="120" t="s">
        <v>7</v>
      </c>
      <c r="C12" s="120"/>
      <c r="D12" s="120"/>
      <c r="E12" s="120"/>
      <c r="F12" s="120"/>
      <c r="G12" s="120"/>
      <c r="H12" s="120"/>
      <c r="I12" s="120"/>
      <c r="J12" s="120"/>
      <c r="K12" s="120"/>
      <c r="L12" s="120"/>
      <c r="M12" s="120"/>
      <c r="N12" s="120"/>
      <c r="O12" s="120"/>
      <c r="P12" s="120"/>
      <c r="Q12" s="120"/>
      <c r="R12" s="120"/>
      <c r="S12" s="120"/>
      <c r="T12" s="120"/>
      <c r="U12" s="120"/>
      <c r="V12" s="120"/>
      <c r="W12" s="120"/>
      <c r="X12" s="120"/>
      <c r="Y12" s="120"/>
      <c r="Z12" s="120"/>
    </row>
    <row r="13" spans="2:26" x14ac:dyDescent="0.2">
      <c r="B13" s="120" t="s">
        <v>5</v>
      </c>
      <c r="C13" s="120"/>
      <c r="D13" s="120"/>
      <c r="E13" s="120"/>
      <c r="F13" s="120"/>
      <c r="G13" s="120"/>
      <c r="H13" s="120"/>
      <c r="I13" s="120"/>
      <c r="J13" s="120"/>
      <c r="K13" s="120"/>
      <c r="L13" s="120"/>
      <c r="M13" s="120"/>
      <c r="N13" s="120"/>
      <c r="O13" s="120"/>
      <c r="P13" s="120"/>
      <c r="Q13" s="120"/>
      <c r="R13" s="120"/>
      <c r="S13" s="120"/>
      <c r="T13" s="120"/>
      <c r="U13" s="120"/>
      <c r="V13" s="120"/>
      <c r="W13" s="120"/>
      <c r="X13" s="120"/>
      <c r="Y13" s="120"/>
      <c r="Z13" s="120"/>
    </row>
    <row r="14" spans="2:26" x14ac:dyDescent="0.2">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row>
    <row r="15" spans="2:26" x14ac:dyDescent="0.2">
      <c r="B15" s="131" t="s">
        <v>193</v>
      </c>
      <c r="C15" s="132"/>
      <c r="D15" s="132"/>
      <c r="E15" s="132"/>
      <c r="F15" s="132"/>
      <c r="G15" s="120"/>
      <c r="H15" s="120"/>
      <c r="I15" s="120"/>
      <c r="J15" s="120"/>
      <c r="K15" s="120"/>
      <c r="L15" s="120"/>
      <c r="M15" s="120"/>
      <c r="N15" s="120"/>
      <c r="O15" s="120"/>
      <c r="P15" s="120"/>
      <c r="Q15" s="120"/>
      <c r="R15" s="120"/>
      <c r="S15" s="120"/>
      <c r="T15" s="120"/>
      <c r="U15" s="120"/>
      <c r="V15" s="120"/>
      <c r="W15" s="120"/>
      <c r="X15" s="120"/>
      <c r="Y15" s="120"/>
      <c r="Z15" s="120"/>
    </row>
    <row r="16" spans="2:26" x14ac:dyDescent="0.2">
      <c r="B16" s="131" t="s">
        <v>215</v>
      </c>
      <c r="C16" s="131"/>
      <c r="D16" s="131"/>
      <c r="E16" s="131"/>
      <c r="F16" s="131"/>
      <c r="G16" s="131"/>
      <c r="H16" s="131"/>
      <c r="I16" s="131"/>
      <c r="J16" s="120"/>
      <c r="K16" s="120"/>
      <c r="L16" s="120"/>
      <c r="M16" s="120"/>
      <c r="N16" s="120"/>
      <c r="O16" s="120"/>
      <c r="P16" s="120"/>
      <c r="Q16" s="120"/>
      <c r="R16" s="120"/>
      <c r="S16" s="120"/>
      <c r="T16" s="120"/>
      <c r="U16" s="120"/>
      <c r="V16" s="120"/>
      <c r="W16" s="120"/>
      <c r="X16" s="120"/>
      <c r="Y16" s="120"/>
      <c r="Z16" s="120"/>
    </row>
    <row r="17" spans="2:26" ht="30.75" customHeight="1" x14ac:dyDescent="0.2">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row>
    <row r="18" spans="2:26" x14ac:dyDescent="0.2">
      <c r="B18" s="120" t="s">
        <v>6</v>
      </c>
      <c r="C18" s="120"/>
      <c r="D18" s="120"/>
      <c r="E18" s="120"/>
      <c r="F18" s="120"/>
      <c r="G18" s="120"/>
      <c r="H18" s="120"/>
      <c r="I18" s="120"/>
      <c r="J18" s="120"/>
      <c r="K18" s="120"/>
      <c r="L18" s="120"/>
      <c r="M18" s="120"/>
      <c r="N18" s="120"/>
      <c r="O18" s="120"/>
      <c r="P18" s="120"/>
      <c r="Q18" s="120"/>
      <c r="R18" s="120"/>
      <c r="S18" s="120"/>
      <c r="T18" s="120"/>
      <c r="U18" s="120"/>
      <c r="V18" s="120"/>
      <c r="W18" s="120"/>
      <c r="X18" s="120"/>
      <c r="Y18" s="120"/>
      <c r="Z18" s="120"/>
    </row>
    <row r="19" spans="2:26" ht="27.95" customHeight="1" x14ac:dyDescent="0.2">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row>
    <row r="20" spans="2:26" ht="24.75" customHeight="1" x14ac:dyDescent="0.2">
      <c r="B20" s="114" t="s">
        <v>194</v>
      </c>
      <c r="C20" s="133">
        <v>43962</v>
      </c>
      <c r="D20" s="135" t="s">
        <v>195</v>
      </c>
      <c r="E20" s="135"/>
      <c r="F20" s="135"/>
      <c r="G20" s="135"/>
      <c r="H20" s="135"/>
      <c r="I20" s="135"/>
      <c r="J20" s="135"/>
      <c r="K20" s="135"/>
      <c r="L20" s="135"/>
      <c r="M20" s="135"/>
      <c r="N20" s="135"/>
      <c r="O20" s="135"/>
      <c r="P20" s="135"/>
      <c r="Q20" s="135"/>
      <c r="R20" s="135"/>
      <c r="S20" s="135"/>
      <c r="T20" s="135"/>
      <c r="U20" s="135"/>
      <c r="V20" s="135"/>
      <c r="W20" s="135"/>
      <c r="X20" s="135"/>
      <c r="Y20" s="135"/>
      <c r="Z20" s="135"/>
    </row>
    <row r="21" spans="2:26" x14ac:dyDescent="0.2">
      <c r="D21" s="134"/>
      <c r="E21" s="134"/>
      <c r="F21" s="134"/>
      <c r="G21" s="134"/>
      <c r="H21" s="134"/>
      <c r="I21" s="134"/>
      <c r="J21" s="134"/>
      <c r="K21" s="134"/>
      <c r="L21" s="134"/>
      <c r="M21" s="134"/>
      <c r="N21" s="134"/>
      <c r="O21" s="134"/>
      <c r="P21" s="134"/>
      <c r="Q21" s="134"/>
      <c r="R21" s="134"/>
      <c r="S21" s="134"/>
      <c r="T21" s="134"/>
      <c r="U21" s="134"/>
      <c r="V21" s="134"/>
      <c r="W21" s="134"/>
      <c r="X21" s="134"/>
      <c r="Y21" s="134"/>
      <c r="Z21" s="134"/>
    </row>
    <row r="22" spans="2:26" x14ac:dyDescent="0.2">
      <c r="D22" s="134"/>
      <c r="E22" s="134"/>
      <c r="F22" s="134"/>
      <c r="G22" s="134"/>
      <c r="H22" s="134"/>
      <c r="I22" s="134"/>
      <c r="J22" s="134"/>
      <c r="K22" s="134"/>
      <c r="L22" s="134"/>
      <c r="M22" s="134"/>
      <c r="N22" s="134"/>
      <c r="O22" s="134"/>
      <c r="P22" s="134"/>
      <c r="Q22" s="134"/>
      <c r="R22" s="134"/>
      <c r="S22" s="134"/>
      <c r="T22" s="134"/>
      <c r="U22" s="134"/>
      <c r="V22" s="134"/>
      <c r="W22" s="134"/>
      <c r="X22" s="134"/>
      <c r="Y22" s="134"/>
      <c r="Z22" s="134"/>
    </row>
    <row r="23" spans="2:26" x14ac:dyDescent="0.2">
      <c r="D23" s="134"/>
      <c r="E23" s="134"/>
      <c r="F23" s="134"/>
      <c r="G23" s="134"/>
      <c r="H23" s="134"/>
      <c r="I23" s="134"/>
      <c r="J23" s="134"/>
      <c r="K23" s="134"/>
      <c r="L23" s="134"/>
      <c r="M23" s="134"/>
      <c r="N23" s="134"/>
      <c r="O23" s="134"/>
      <c r="P23" s="134"/>
      <c r="Q23" s="134"/>
      <c r="R23" s="134"/>
      <c r="S23" s="134"/>
      <c r="T23" s="134"/>
      <c r="U23" s="134"/>
      <c r="V23" s="134"/>
      <c r="W23" s="134"/>
      <c r="X23" s="134"/>
      <c r="Y23" s="134"/>
      <c r="Z23" s="134"/>
    </row>
    <row r="24" spans="2:26" x14ac:dyDescent="0.2">
      <c r="D24" s="134"/>
      <c r="E24" s="134"/>
      <c r="F24" s="134"/>
      <c r="G24" s="134"/>
      <c r="H24" s="134"/>
      <c r="I24" s="134"/>
      <c r="J24" s="134"/>
      <c r="K24" s="134"/>
      <c r="L24" s="134"/>
      <c r="M24" s="134"/>
      <c r="N24" s="134"/>
      <c r="O24" s="134"/>
      <c r="P24" s="134"/>
      <c r="Q24" s="134"/>
      <c r="R24" s="134"/>
      <c r="S24" s="134"/>
      <c r="T24" s="134"/>
      <c r="U24" s="134"/>
      <c r="V24" s="134"/>
      <c r="W24" s="134"/>
      <c r="X24" s="134"/>
      <c r="Y24" s="134"/>
      <c r="Z24" s="134"/>
    </row>
    <row r="25" spans="2:26" x14ac:dyDescent="0.2">
      <c r="D25" s="134"/>
      <c r="E25" s="134"/>
      <c r="F25" s="134"/>
      <c r="G25" s="134"/>
      <c r="H25" s="134"/>
      <c r="I25" s="134"/>
      <c r="J25" s="134"/>
      <c r="K25" s="134"/>
      <c r="L25" s="134"/>
      <c r="M25" s="134"/>
      <c r="N25" s="134"/>
      <c r="O25" s="134"/>
      <c r="P25" s="134"/>
      <c r="Q25" s="134"/>
      <c r="R25" s="134"/>
      <c r="S25" s="134"/>
      <c r="T25" s="134"/>
      <c r="U25" s="134"/>
      <c r="V25" s="134"/>
      <c r="W25" s="134"/>
      <c r="X25" s="134"/>
      <c r="Y25" s="134"/>
      <c r="Z25" s="134"/>
    </row>
    <row r="26" spans="2:26" x14ac:dyDescent="0.2">
      <c r="D26" s="134"/>
      <c r="E26" s="134"/>
      <c r="F26" s="134"/>
      <c r="G26" s="134"/>
      <c r="H26" s="134"/>
      <c r="I26" s="134"/>
      <c r="J26" s="134"/>
      <c r="K26" s="134"/>
      <c r="L26" s="134"/>
      <c r="M26" s="134"/>
      <c r="N26" s="134"/>
      <c r="O26" s="134"/>
      <c r="P26" s="134"/>
      <c r="Q26" s="134"/>
      <c r="R26" s="134"/>
      <c r="S26" s="134"/>
      <c r="T26" s="134"/>
      <c r="U26" s="134"/>
      <c r="V26" s="134"/>
      <c r="W26" s="134"/>
      <c r="X26" s="134"/>
      <c r="Y26" s="134"/>
      <c r="Z26" s="134"/>
    </row>
    <row r="27" spans="2:26" x14ac:dyDescent="0.2">
      <c r="D27" s="134"/>
      <c r="E27" s="134"/>
      <c r="F27" s="134"/>
      <c r="G27" s="134"/>
      <c r="H27" s="134"/>
      <c r="I27" s="134"/>
      <c r="J27" s="134"/>
      <c r="K27" s="134"/>
      <c r="L27" s="134"/>
      <c r="M27" s="134"/>
      <c r="N27" s="134"/>
      <c r="O27" s="134"/>
      <c r="P27" s="134"/>
      <c r="Q27" s="134"/>
      <c r="R27" s="134"/>
      <c r="S27" s="134"/>
      <c r="T27" s="134"/>
      <c r="U27" s="134"/>
      <c r="V27" s="134"/>
      <c r="W27" s="134"/>
      <c r="X27" s="134"/>
      <c r="Y27" s="134"/>
      <c r="Z27" s="134"/>
    </row>
    <row r="28" spans="2:26" x14ac:dyDescent="0.2">
      <c r="D28" s="134"/>
      <c r="E28" s="134"/>
      <c r="F28" s="134"/>
      <c r="G28" s="134"/>
      <c r="H28" s="134"/>
      <c r="I28" s="134"/>
      <c r="J28" s="134"/>
      <c r="K28" s="134"/>
      <c r="L28" s="134"/>
      <c r="M28" s="134"/>
      <c r="N28" s="134"/>
      <c r="O28" s="134"/>
      <c r="P28" s="134"/>
      <c r="Q28" s="134"/>
      <c r="R28" s="134"/>
      <c r="S28" s="134"/>
      <c r="T28" s="134"/>
      <c r="U28" s="134"/>
      <c r="V28" s="134"/>
      <c r="W28" s="134"/>
      <c r="X28" s="134"/>
      <c r="Y28" s="134"/>
      <c r="Z28" s="134"/>
    </row>
    <row r="46" spans="4:4" ht="19.5" x14ac:dyDescent="0.25">
      <c r="D46" s="122"/>
    </row>
  </sheetData>
  <mergeCells count="11">
    <mergeCell ref="B2:O2"/>
    <mergeCell ref="B7:P7"/>
    <mergeCell ref="D25:Z25"/>
    <mergeCell ref="D26:Z26"/>
    <mergeCell ref="D27:Z27"/>
    <mergeCell ref="D28:Z28"/>
    <mergeCell ref="D20:Z20"/>
    <mergeCell ref="D21:Z21"/>
    <mergeCell ref="D22:Z22"/>
    <mergeCell ref="D23:Z23"/>
    <mergeCell ref="D24:Z24"/>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sheetPr>
  <dimension ref="B2:N50"/>
  <sheetViews>
    <sheetView zoomScale="90" zoomScaleNormal="90" workbookViewId="0">
      <selection activeCell="B12" sqref="B12:B28"/>
    </sheetView>
  </sheetViews>
  <sheetFormatPr baseColWidth="10" defaultColWidth="9" defaultRowHeight="12.75" x14ac:dyDescent="0.2"/>
  <cols>
    <col min="1" max="1" width="9" style="1"/>
    <col min="2" max="2" width="22.625" style="1" customWidth="1"/>
    <col min="3" max="3" width="4" style="1" bestFit="1" customWidth="1"/>
    <col min="4" max="4" width="25.625" style="1" customWidth="1"/>
    <col min="5" max="12" width="11.625" style="1" customWidth="1"/>
    <col min="13" max="16384" width="9" style="1"/>
  </cols>
  <sheetData>
    <row r="2" spans="2:13" ht="21" thickBot="1" x14ac:dyDescent="0.35">
      <c r="B2" s="151" t="s">
        <v>90</v>
      </c>
      <c r="C2" s="151"/>
      <c r="D2" s="151"/>
      <c r="E2" s="151"/>
      <c r="F2" s="151"/>
      <c r="G2" s="151"/>
      <c r="H2" s="151"/>
      <c r="I2" s="151"/>
      <c r="J2" s="151"/>
      <c r="K2" s="151"/>
      <c r="L2" s="151"/>
      <c r="M2" s="151"/>
    </row>
    <row r="3" spans="2:13" ht="13.5" thickTop="1" x14ac:dyDescent="0.2">
      <c r="B3" s="113" t="str">
        <f>Tooltype</f>
        <v>Calculator tool for the German scenario for inland water marinas</v>
      </c>
      <c r="C3" s="113"/>
      <c r="D3" s="113"/>
      <c r="E3" s="74"/>
      <c r="F3" s="74"/>
      <c r="G3" s="74"/>
      <c r="H3" s="74"/>
      <c r="I3" s="74"/>
      <c r="J3" s="74"/>
      <c r="K3" s="74"/>
      <c r="L3" s="74"/>
    </row>
    <row r="4" spans="2:13" ht="15" x14ac:dyDescent="0.2">
      <c r="B4" s="152" t="s">
        <v>80</v>
      </c>
      <c r="C4" s="152"/>
      <c r="D4" s="152"/>
      <c r="E4" s="152"/>
      <c r="F4" s="152"/>
      <c r="G4" s="74"/>
      <c r="H4" s="74"/>
      <c r="I4" s="74"/>
      <c r="J4" s="74"/>
      <c r="K4" s="74"/>
      <c r="L4" s="74"/>
    </row>
    <row r="5" spans="2:13" x14ac:dyDescent="0.2">
      <c r="B5" s="153" t="s">
        <v>118</v>
      </c>
      <c r="C5" s="153"/>
      <c r="D5" s="153"/>
      <c r="E5" s="153"/>
      <c r="F5" s="81">
        <f>P_PNEC_Aquatic_Inside</f>
        <v>1.7600000000000001E-2</v>
      </c>
      <c r="H5" s="74"/>
      <c r="I5" s="74"/>
      <c r="J5" s="74"/>
      <c r="K5" s="74"/>
      <c r="L5" s="74"/>
    </row>
    <row r="6" spans="2:13" x14ac:dyDescent="0.2">
      <c r="B6" s="153" t="s">
        <v>119</v>
      </c>
      <c r="C6" s="153"/>
      <c r="D6" s="153"/>
      <c r="E6" s="153"/>
      <c r="F6" s="81">
        <f>P_PNEC_Sediment_Inside</f>
        <v>8.5000000000000006E-3</v>
      </c>
      <c r="H6" s="74"/>
      <c r="I6" s="74"/>
      <c r="J6" s="74"/>
      <c r="K6" s="74"/>
      <c r="L6" s="74"/>
    </row>
    <row r="7" spans="2:13" x14ac:dyDescent="0.2">
      <c r="B7" s="153" t="s">
        <v>120</v>
      </c>
      <c r="C7" s="153"/>
      <c r="D7" s="153"/>
      <c r="E7" s="153"/>
      <c r="F7" s="81">
        <f>P_PNEC_Aquatic_Surrounding</f>
        <v>1.7600000000000001E-2</v>
      </c>
      <c r="H7" s="74"/>
      <c r="I7" s="74"/>
      <c r="J7" s="74"/>
      <c r="K7" s="74"/>
      <c r="L7" s="74"/>
    </row>
    <row r="8" spans="2:13" x14ac:dyDescent="0.2">
      <c r="B8" s="153" t="s">
        <v>121</v>
      </c>
      <c r="C8" s="153"/>
      <c r="D8" s="153"/>
      <c r="E8" s="153"/>
      <c r="F8" s="81">
        <f>P_PNEC_Sediment_Surrounding</f>
        <v>8.5000000000000006E-3</v>
      </c>
      <c r="H8" s="74"/>
      <c r="I8" s="74"/>
      <c r="J8" s="74"/>
      <c r="K8" s="74"/>
      <c r="L8" s="74"/>
    </row>
    <row r="10" spans="2:13" ht="15" x14ac:dyDescent="0.2">
      <c r="B10" s="142" t="s">
        <v>183</v>
      </c>
      <c r="C10" s="142"/>
      <c r="D10" s="142"/>
      <c r="E10" s="142"/>
      <c r="F10" s="142"/>
      <c r="G10" s="142"/>
      <c r="H10" s="142"/>
      <c r="I10" s="142"/>
      <c r="J10" s="142"/>
      <c r="K10" s="142"/>
      <c r="L10" s="142"/>
    </row>
    <row r="11" spans="2:13" ht="99.95" customHeight="1" x14ac:dyDescent="0.2">
      <c r="B11" s="79" t="s">
        <v>8</v>
      </c>
      <c r="C11" s="75" t="s">
        <v>109</v>
      </c>
      <c r="D11" s="79" t="s">
        <v>10</v>
      </c>
      <c r="E11" s="8" t="s">
        <v>70</v>
      </c>
      <c r="F11" s="8" t="s">
        <v>122</v>
      </c>
      <c r="G11" s="8" t="s">
        <v>71</v>
      </c>
      <c r="H11" s="8" t="s">
        <v>123</v>
      </c>
      <c r="I11" s="8" t="s">
        <v>124</v>
      </c>
      <c r="J11" s="8" t="s">
        <v>125</v>
      </c>
      <c r="K11" s="8" t="s">
        <v>126</v>
      </c>
      <c r="L11" s="8" t="s">
        <v>127</v>
      </c>
    </row>
    <row r="12" spans="2:13" ht="14.25" customHeight="1" x14ac:dyDescent="0.2">
      <c r="B12" s="78" t="s">
        <v>196</v>
      </c>
      <c r="C12" s="89" t="s">
        <v>11</v>
      </c>
      <c r="D12" s="80" t="str">
        <f t="shared" ref="D12:D28" si="0">P_Compound_Name</f>
        <v>Pyrithione</v>
      </c>
      <c r="E12" s="68">
        <f>'P_DE Marinas_Scenario_Calc'!J21</f>
        <v>39.182311520498793</v>
      </c>
      <c r="F12" s="68">
        <f>'P_DE Marinas_Scenario_Calc'!K21</f>
        <v>11.52420975890921</v>
      </c>
      <c r="G12" s="68">
        <f>'P_DE Marinas_Scenario_Calc'!L21</f>
        <v>4.4686817730176936E-3</v>
      </c>
      <c r="H12" s="68">
        <f>'P_DE Marinas_Scenario_Calc'!M21</f>
        <v>1.3143182298783231E-3</v>
      </c>
      <c r="I12" s="68">
        <f>'P_DE Marinas_Scenario_Calc'!R21</f>
        <v>2226.2677000283402</v>
      </c>
      <c r="J12" s="68">
        <f>'P_DE Marinas_Scenario_Calc'!S21</f>
        <v>1355.7893834010833</v>
      </c>
      <c r="K12" s="68">
        <f>'P_DE Marinas_Scenario_Calc'!T21</f>
        <v>0.25390237346691441</v>
      </c>
      <c r="L12" s="68">
        <f>'P_DE Marinas_Scenario_Calc'!U21</f>
        <v>0.15462567410333211</v>
      </c>
    </row>
    <row r="13" spans="2:13" ht="14.25" customHeight="1" x14ac:dyDescent="0.2">
      <c r="B13" s="78" t="s">
        <v>197</v>
      </c>
      <c r="C13" s="89" t="s">
        <v>11</v>
      </c>
      <c r="D13" s="80" t="str">
        <f t="shared" si="0"/>
        <v>Pyrithione</v>
      </c>
      <c r="E13" s="68">
        <f>'P_DE Marinas_Scenario_Calc'!J22</f>
        <v>4.3564306448274746</v>
      </c>
      <c r="F13" s="68">
        <f>'P_DE Marinas_Scenario_Calc'!K22</f>
        <v>11.089095992827637</v>
      </c>
      <c r="G13" s="68">
        <f>'P_DE Marinas_Scenario_Calc'!L22</f>
        <v>1.194806277704916E-3</v>
      </c>
      <c r="H13" s="68">
        <f>'P_DE Marinas_Scenario_Calc'!M22</f>
        <v>3.0413250089689034E-3</v>
      </c>
      <c r="I13" s="68">
        <f>'P_DE Marinas_Scenario_Calc'!R22</f>
        <v>247.52446845610649</v>
      </c>
      <c r="J13" s="68">
        <f>'P_DE Marinas_Scenario_Calc'!S22</f>
        <v>1304.5995285679573</v>
      </c>
      <c r="K13" s="68">
        <f>'P_DE Marinas_Scenario_Calc'!T22</f>
        <v>6.7886720324142946E-2</v>
      </c>
      <c r="L13" s="68">
        <f>'P_DE Marinas_Scenario_Calc'!U22</f>
        <v>0.35780294223163567</v>
      </c>
    </row>
    <row r="14" spans="2:13" ht="14.25" customHeight="1" x14ac:dyDescent="0.2">
      <c r="B14" s="78" t="s">
        <v>198</v>
      </c>
      <c r="C14" s="89" t="s">
        <v>11</v>
      </c>
      <c r="D14" s="80" t="str">
        <f t="shared" si="0"/>
        <v>Pyrithione</v>
      </c>
      <c r="E14" s="68">
        <f>'P_DE Marinas_Scenario_Calc'!J23</f>
        <v>27.480998871470891</v>
      </c>
      <c r="F14" s="68">
        <f>'P_DE Marinas_Scenario_Calc'!K23</f>
        <v>138.40795853118402</v>
      </c>
      <c r="G14" s="68">
        <f>'P_DE Marinas_Scenario_Calc'!L23</f>
        <v>5.2385671842907645E-3</v>
      </c>
      <c r="H14" s="68">
        <f>'P_DE Marinas_Scenario_Calc'!M23</f>
        <v>2.6384026072875197E-2</v>
      </c>
      <c r="I14" s="68">
        <f>'P_DE Marinas_Scenario_Calc'!R23</f>
        <v>1561.4203904244823</v>
      </c>
      <c r="J14" s="68">
        <f>'P_DE Marinas_Scenario_Calc'!S23</f>
        <v>16283.289238962825</v>
      </c>
      <c r="K14" s="68">
        <f>'P_DE Marinas_Scenario_Calc'!T23</f>
        <v>0.2976458627437934</v>
      </c>
      <c r="L14" s="68">
        <f>'P_DE Marinas_Scenario_Calc'!U23</f>
        <v>3.1040030673970818</v>
      </c>
    </row>
    <row r="15" spans="2:13" ht="14.25" customHeight="1" x14ac:dyDescent="0.2">
      <c r="B15" s="78" t="s">
        <v>199</v>
      </c>
      <c r="C15" s="89" t="s">
        <v>11</v>
      </c>
      <c r="D15" s="80" t="str">
        <f t="shared" si="0"/>
        <v>Pyrithione</v>
      </c>
      <c r="E15" s="68">
        <f>'P_DE Marinas_Scenario_Calc'!J24</f>
        <v>10.20030565426875</v>
      </c>
      <c r="F15" s="68">
        <f>'P_DE Marinas_Scenario_Calc'!K24</f>
        <v>102.003056409783</v>
      </c>
      <c r="G15" s="68">
        <f>'P_DE Marinas_Scenario_Calc'!L24</f>
        <v>2.5676654526857723E-3</v>
      </c>
      <c r="H15" s="68">
        <f>'P_DE Marinas_Scenario_Calc'!M24</f>
        <v>2.567665459466691E-2</v>
      </c>
      <c r="I15" s="68">
        <f>'P_DE Marinas_Scenario_Calc'!R24</f>
        <v>579.5628212652698</v>
      </c>
      <c r="J15" s="68">
        <f>'P_DE Marinas_Scenario_Calc'!S24</f>
        <v>12000.359577621528</v>
      </c>
      <c r="K15" s="68">
        <f>'P_DE Marinas_Scenario_Calc'!T24</f>
        <v>0.14589008253896432</v>
      </c>
      <c r="L15" s="68">
        <f>'P_DE Marinas_Scenario_Calc'!U24</f>
        <v>3.0207828934902246</v>
      </c>
    </row>
    <row r="16" spans="2:13" ht="14.25" customHeight="1" x14ac:dyDescent="0.2">
      <c r="B16" s="78" t="s">
        <v>200</v>
      </c>
      <c r="C16" s="89" t="s">
        <v>11</v>
      </c>
      <c r="D16" s="80" t="str">
        <f t="shared" si="0"/>
        <v>Pyrithione</v>
      </c>
      <c r="E16" s="68">
        <f>'P_DE Marinas_Scenario_Calc'!J25</f>
        <v>2.1104179959547618</v>
      </c>
      <c r="F16" s="68">
        <f>'P_DE Marinas_Scenario_Calc'!K25</f>
        <v>20.186608161351593</v>
      </c>
      <c r="G16" s="68">
        <f>'P_DE Marinas_Scenario_Calc'!L25</f>
        <v>4.5512907484921144E-4</v>
      </c>
      <c r="H16" s="68">
        <f>'P_DE Marinas_Scenario_Calc'!M25</f>
        <v>4.3534088002031611E-3</v>
      </c>
      <c r="I16" s="68">
        <f>'P_DE Marinas_Scenario_Calc'!R25</f>
        <v>119.91011340652055</v>
      </c>
      <c r="J16" s="68">
        <f>'P_DE Marinas_Scenario_Calc'!S25</f>
        <v>2374.8950778060698</v>
      </c>
      <c r="K16" s="68">
        <f>'P_DE Marinas_Scenario_Calc'!T25</f>
        <v>2.5859606525523375E-2</v>
      </c>
      <c r="L16" s="68">
        <f>'P_DE Marinas_Scenario_Calc'!U25</f>
        <v>0.51216574120037184</v>
      </c>
    </row>
    <row r="17" spans="2:12" ht="14.25" customHeight="1" x14ac:dyDescent="0.2">
      <c r="B17" s="78" t="s">
        <v>201</v>
      </c>
      <c r="C17" s="89" t="s">
        <v>11</v>
      </c>
      <c r="D17" s="80" t="str">
        <f t="shared" si="0"/>
        <v>Pyrithione</v>
      </c>
      <c r="E17" s="68">
        <f>'P_DE Marinas_Scenario_Calc'!J26</f>
        <v>2.9117443562483234</v>
      </c>
      <c r="F17" s="68">
        <f>'P_DE Marinas_Scenario_Calc'!K26</f>
        <v>6.105270136246717</v>
      </c>
      <c r="G17" s="68">
        <f>'P_DE Marinas_Scenario_Calc'!L26</f>
        <v>1.7679201940436695E-3</v>
      </c>
      <c r="H17" s="68">
        <f>'P_DE Marinas_Scenario_Calc'!M26</f>
        <v>3.706929281242432E-3</v>
      </c>
      <c r="I17" s="68">
        <f>'P_DE Marinas_Scenario_Calc'!R26</f>
        <v>165.440020241382</v>
      </c>
      <c r="J17" s="68">
        <f>'P_DE Marinas_Scenario_Calc'!S26</f>
        <v>718.26707485255486</v>
      </c>
      <c r="K17" s="68">
        <f>'P_DE Marinas_Scenario_Calc'!T26</f>
        <v>0.10045001102520848</v>
      </c>
      <c r="L17" s="68">
        <f>'P_DE Marinas_Scenario_Calc'!U26</f>
        <v>0.43610932720499196</v>
      </c>
    </row>
    <row r="18" spans="2:12" ht="14.25" customHeight="1" x14ac:dyDescent="0.2">
      <c r="B18" s="78" t="s">
        <v>202</v>
      </c>
      <c r="C18" s="89" t="s">
        <v>11</v>
      </c>
      <c r="D18" s="80" t="str">
        <f t="shared" si="0"/>
        <v>Pyrithione</v>
      </c>
      <c r="E18" s="68">
        <f>'P_DE Marinas_Scenario_Calc'!J27</f>
        <v>5.4639180064585577</v>
      </c>
      <c r="F18" s="68">
        <f>'P_DE Marinas_Scenario_Calc'!K27</f>
        <v>1.0507534796542193</v>
      </c>
      <c r="G18" s="68">
        <f>'P_DE Marinas_Scenario_Calc'!L27</f>
        <v>3.4077505802838815E-3</v>
      </c>
      <c r="H18" s="68">
        <f>'P_DE Marinas_Scenario_Calc'!M27</f>
        <v>6.5533666140716446E-4</v>
      </c>
      <c r="I18" s="68">
        <f>'P_DE Marinas_Scenario_Calc'!R27</f>
        <v>310.44988673059987</v>
      </c>
      <c r="J18" s="68">
        <f>'P_DE Marinas_Scenario_Calc'!S27</f>
        <v>123.61805642990814</v>
      </c>
      <c r="K18" s="68">
        <f>'P_DE Marinas_Scenario_Calc'!T27</f>
        <v>0.19362219206158415</v>
      </c>
      <c r="L18" s="68">
        <f>'P_DE Marinas_Scenario_Calc'!U27</f>
        <v>7.7098430753784045E-2</v>
      </c>
    </row>
    <row r="19" spans="2:12" ht="14.25" customHeight="1" x14ac:dyDescent="0.2">
      <c r="B19" s="78" t="s">
        <v>203</v>
      </c>
      <c r="C19" s="89" t="s">
        <v>11</v>
      </c>
      <c r="D19" s="80" t="str">
        <f t="shared" si="0"/>
        <v>Pyrithione</v>
      </c>
      <c r="E19" s="68">
        <f>'P_DE Marinas_Scenario_Calc'!J28</f>
        <v>10.712114561710743</v>
      </c>
      <c r="F19" s="68">
        <f>'P_DE Marinas_Scenario_Calc'!K28</f>
        <v>1499.6960332541196</v>
      </c>
      <c r="G19" s="68">
        <f>'P_DE Marinas_Scenario_Calc'!L28</f>
        <v>3.7940858353141677E-3</v>
      </c>
      <c r="H19" s="68">
        <f>'P_DE Marinas_Scenario_Calc'!M28</f>
        <v>0.53117201789077495</v>
      </c>
      <c r="I19" s="68">
        <f>'P_DE Marinas_Scenario_Calc'!R28</f>
        <v>608.64287282447401</v>
      </c>
      <c r="J19" s="68">
        <f>'P_DE Marinas_Scenario_Calc'!S28</f>
        <v>176434.82744166112</v>
      </c>
      <c r="K19" s="68">
        <f>'P_DE Marinas_Scenario_Calc'!T28</f>
        <v>0.2155730588246686</v>
      </c>
      <c r="L19" s="68">
        <f>'P_DE Marinas_Scenario_Calc'!U28</f>
        <v>62.490825634208811</v>
      </c>
    </row>
    <row r="20" spans="2:12" ht="14.25" customHeight="1" x14ac:dyDescent="0.2">
      <c r="B20" s="78" t="s">
        <v>204</v>
      </c>
      <c r="C20" s="89" t="s">
        <v>11</v>
      </c>
      <c r="D20" s="80" t="str">
        <f t="shared" si="0"/>
        <v>Pyrithione</v>
      </c>
      <c r="E20" s="68">
        <f>'P_DE Marinas_Scenario_Calc'!J29</f>
        <v>3.2016442775677896</v>
      </c>
      <c r="F20" s="68">
        <f>'P_DE Marinas_Scenario_Calc'!K29</f>
        <v>5.0552279772663216</v>
      </c>
      <c r="G20" s="68">
        <f>'P_DE Marinas_Scenario_Calc'!L29</f>
        <v>5.914729414737697E-3</v>
      </c>
      <c r="H20" s="68">
        <f>'P_DE Marinas_Scenario_Calc'!M29</f>
        <v>9.3390467727542444E-3</v>
      </c>
      <c r="I20" s="68">
        <f>'P_DE Marinas_Scenario_Calc'!R29</f>
        <v>181.91160667998804</v>
      </c>
      <c r="J20" s="68">
        <f>'P_DE Marinas_Scenario_Calc'!S29</f>
        <v>594.7327032078025</v>
      </c>
      <c r="K20" s="68">
        <f>'P_DE Marinas_Scenario_Calc'!T29</f>
        <v>0.33606417129191457</v>
      </c>
      <c r="L20" s="68">
        <f>'P_DE Marinas_Scenario_Calc'!U29</f>
        <v>1.0987113850299111</v>
      </c>
    </row>
    <row r="21" spans="2:12" ht="14.25" customHeight="1" x14ac:dyDescent="0.2">
      <c r="B21" s="78" t="s">
        <v>205</v>
      </c>
      <c r="C21" s="89" t="s">
        <v>11</v>
      </c>
      <c r="D21" s="80" t="str">
        <f t="shared" si="0"/>
        <v>Pyrithione</v>
      </c>
      <c r="E21" s="68">
        <f>'P_DE Marinas_Scenario_Calc'!J30</f>
        <v>9.669882485321428E-2</v>
      </c>
      <c r="F21" s="68">
        <f>'P_DE Marinas_Scenario_Calc'!K30</f>
        <v>2.3023531204770568E-2</v>
      </c>
      <c r="G21" s="68">
        <f>'P_DE Marinas_Scenario_Calc'!L30</f>
        <v>9.3699119724398674E-5</v>
      </c>
      <c r="H21" s="68">
        <f>'P_DE Marinas_Scenario_Calc'!M30</f>
        <v>2.2309315852461654E-5</v>
      </c>
      <c r="I21" s="68">
        <f>'P_DE Marinas_Scenario_Calc'!R30</f>
        <v>5.4942514121144477</v>
      </c>
      <c r="J21" s="68">
        <f>'P_DE Marinas_Scenario_Calc'!S30</f>
        <v>2.7086507299730078</v>
      </c>
      <c r="K21" s="68">
        <f>'P_DE Marinas_Scenario_Calc'!T30</f>
        <v>5.3238136207044697E-3</v>
      </c>
      <c r="L21" s="68">
        <f>'P_DE Marinas_Scenario_Calc'!U30</f>
        <v>2.6246253944072532E-3</v>
      </c>
    </row>
    <row r="22" spans="2:12" ht="14.25" customHeight="1" x14ac:dyDescent="0.2">
      <c r="B22" s="78" t="s">
        <v>206</v>
      </c>
      <c r="C22" s="89" t="s">
        <v>11</v>
      </c>
      <c r="D22" s="80" t="str">
        <f t="shared" si="0"/>
        <v>Pyrithione</v>
      </c>
      <c r="E22" s="68">
        <f>'P_DE Marinas_Scenario_Calc'!J31</f>
        <v>34.991758736494631</v>
      </c>
      <c r="F22" s="68">
        <f>'P_DE Marinas_Scenario_Calc'!K31</f>
        <v>74.021035097409509</v>
      </c>
      <c r="G22" s="68">
        <f>'P_DE Marinas_Scenario_Calc'!L31</f>
        <v>9.8554928699058596E-3</v>
      </c>
      <c r="H22" s="68">
        <f>'P_DE Marinas_Scenario_Calc'!M31</f>
        <v>2.0848159999669106E-2</v>
      </c>
      <c r="I22" s="68">
        <f>'P_DE Marinas_Scenario_Calc'!R31</f>
        <v>1988.1681100281039</v>
      </c>
      <c r="J22" s="68">
        <f>'P_DE Marinas_Scenario_Calc'!S31</f>
        <v>8708.3570702834713</v>
      </c>
      <c r="K22" s="68">
        <f>'P_DE Marinas_Scenario_Calc'!T31</f>
        <v>0.55997118579010563</v>
      </c>
      <c r="L22" s="68">
        <f>'P_DE Marinas_Scenario_Calc'!U31</f>
        <v>2.4527247058434241</v>
      </c>
    </row>
    <row r="23" spans="2:12" ht="14.25" customHeight="1" x14ac:dyDescent="0.2">
      <c r="B23" s="78" t="s">
        <v>207</v>
      </c>
      <c r="C23" s="89" t="s">
        <v>11</v>
      </c>
      <c r="D23" s="80" t="str">
        <f t="shared" si="0"/>
        <v>Pyrithione</v>
      </c>
      <c r="E23" s="68">
        <f>'P_DE Marinas_Scenario_Calc'!J32</f>
        <v>15.885519704931303</v>
      </c>
      <c r="F23" s="68">
        <f>'P_DE Marinas_Scenario_Calc'!K32</f>
        <v>14.441381999491082</v>
      </c>
      <c r="G23" s="68">
        <f>'P_DE Marinas_Scenario_Calc'!L32</f>
        <v>8.5601748550823125E-3</v>
      </c>
      <c r="H23" s="68">
        <f>'P_DE Marinas_Scenario_Calc'!M32</f>
        <v>7.7819773613730043E-3</v>
      </c>
      <c r="I23" s="68">
        <f>'P_DE Marinas_Scenario_Calc'!R32</f>
        <v>902.58634687109668</v>
      </c>
      <c r="J23" s="68">
        <f>'P_DE Marinas_Scenario_Calc'!S32</f>
        <v>1698.9861175871861</v>
      </c>
      <c r="K23" s="68">
        <f>'P_DE Marinas_Scenario_Calc'!T32</f>
        <v>0.486373571311495</v>
      </c>
      <c r="L23" s="68">
        <f>'P_DE Marinas_Scenario_Calc'!U32</f>
        <v>0.91552674839682402</v>
      </c>
    </row>
    <row r="24" spans="2:12" ht="14.25" customHeight="1" x14ac:dyDescent="0.2">
      <c r="B24" s="78" t="s">
        <v>208</v>
      </c>
      <c r="C24" s="89" t="s">
        <v>11</v>
      </c>
      <c r="D24" s="80" t="str">
        <f t="shared" si="0"/>
        <v>Pyrithione</v>
      </c>
      <c r="E24" s="68">
        <f>'P_DE Marinas_Scenario_Calc'!J33</f>
        <v>2.7518763419976047</v>
      </c>
      <c r="F24" s="68">
        <f>'P_DE Marinas_Scenario_Calc'!K33</f>
        <v>8.5996135522861028</v>
      </c>
      <c r="G24" s="68">
        <f>'P_DE Marinas_Scenario_Calc'!L33</f>
        <v>1.238502305786068E-3</v>
      </c>
      <c r="H24" s="68">
        <f>'P_DE Marinas_Scenario_Calc'!M33</f>
        <v>3.8703197094590732E-3</v>
      </c>
      <c r="I24" s="68">
        <f>'P_DE Marinas_Scenario_Calc'!R33</f>
        <v>156.35661034077299</v>
      </c>
      <c r="J24" s="68">
        <f>'P_DE Marinas_Scenario_Calc'!S33</f>
        <v>1011.7192414454238</v>
      </c>
      <c r="K24" s="68">
        <f>'P_DE Marinas_Scenario_Calc'!T33</f>
        <v>7.0369449192390215E-2</v>
      </c>
      <c r="L24" s="68">
        <f>'P_DE Marinas_Scenario_Calc'!U33</f>
        <v>0.4553317305245968</v>
      </c>
    </row>
    <row r="25" spans="2:12" ht="14.25" customHeight="1" x14ac:dyDescent="0.2">
      <c r="B25" s="78" t="s">
        <v>209</v>
      </c>
      <c r="C25" s="89" t="s">
        <v>11</v>
      </c>
      <c r="D25" s="80" t="str">
        <f t="shared" si="0"/>
        <v>Pyrithione</v>
      </c>
      <c r="E25" s="68">
        <f>'P_DE Marinas_Scenario_Calc'!J34</f>
        <v>2.7860741802651985</v>
      </c>
      <c r="F25" s="68">
        <f>'P_DE Marinas_Scenario_Calc'!K34</f>
        <v>0.3095638008757895</v>
      </c>
      <c r="G25" s="68">
        <f>'P_DE Marinas_Scenario_Calc'!L34</f>
        <v>4.960064065932466E-4</v>
      </c>
      <c r="H25" s="68">
        <f>'P_DE Marinas_Scenario_Calc'!M34</f>
        <v>5.5111823578852836E-5</v>
      </c>
      <c r="I25" s="68">
        <f>'P_DE Marinas_Scenario_Calc'!R34</f>
        <v>158.29966933324991</v>
      </c>
      <c r="J25" s="68">
        <f>'P_DE Marinas_Scenario_Calc'!S34</f>
        <v>36.419270691269347</v>
      </c>
      <c r="K25" s="68">
        <f>'P_DE Marinas_Scenario_Calc'!T34</f>
        <v>2.81821821927981E-2</v>
      </c>
      <c r="L25" s="68">
        <f>'P_DE Marinas_Scenario_Calc'!U34</f>
        <v>6.4837439504532744E-3</v>
      </c>
    </row>
    <row r="26" spans="2:12" ht="14.25" customHeight="1" x14ac:dyDescent="0.2">
      <c r="B26" s="78" t="s">
        <v>210</v>
      </c>
      <c r="C26" s="89" t="s">
        <v>11</v>
      </c>
      <c r="D26" s="80" t="str">
        <f t="shared" si="0"/>
        <v>Pyrithione</v>
      </c>
      <c r="E26" s="68">
        <f>'P_DE Marinas_Scenario_Calc'!J35</f>
        <v>28.898303338364588</v>
      </c>
      <c r="F26" s="68">
        <f>'P_DE Marinas_Scenario_Calc'!K35</f>
        <v>8.0915249816944286</v>
      </c>
      <c r="G26" s="68">
        <f>'P_DE Marinas_Scenario_Calc'!L35</f>
        <v>1.6781018524206447E-3</v>
      </c>
      <c r="H26" s="68">
        <f>'P_DE Marinas_Scenario_Calc'!M35</f>
        <v>4.6986852311680125E-4</v>
      </c>
      <c r="I26" s="68">
        <f>'P_DE Marinas_Scenario_Calc'!R35</f>
        <v>1641.9490533161697</v>
      </c>
      <c r="J26" s="68">
        <f>'P_DE Marinas_Scenario_Calc'!S35</f>
        <v>951.94411549346216</v>
      </c>
      <c r="K26" s="68">
        <f>'P_DE Marinas_Scenario_Calc'!T35</f>
        <v>9.5346696160263894E-2</v>
      </c>
      <c r="L26" s="68">
        <f>'P_DE Marinas_Scenario_Calc'!U35</f>
        <v>5.5278649778447202E-2</v>
      </c>
    </row>
    <row r="27" spans="2:12" ht="14.25" customHeight="1" x14ac:dyDescent="0.2">
      <c r="B27" s="78" t="s">
        <v>211</v>
      </c>
      <c r="C27" s="89" t="s">
        <v>11</v>
      </c>
      <c r="D27" s="80" t="str">
        <f t="shared" si="0"/>
        <v>Pyrithione</v>
      </c>
      <c r="E27" s="68">
        <f>'P_DE Marinas_Scenario_Calc'!J36</f>
        <v>45.751604046451973</v>
      </c>
      <c r="F27" s="68">
        <f>'P_DE Marinas_Scenario_Calc'!K36</f>
        <v>48.442872047532987</v>
      </c>
      <c r="G27" s="68">
        <f>'P_DE Marinas_Scenario_Calc'!L36</f>
        <v>2.9671726925526954E-3</v>
      </c>
      <c r="H27" s="68">
        <f>'P_DE Marinas_Scenario_Calc'!M36</f>
        <v>3.1417121180600765E-3</v>
      </c>
      <c r="I27" s="68">
        <f>'P_DE Marinas_Scenario_Calc'!R36</f>
        <v>2599.5229571847713</v>
      </c>
      <c r="J27" s="68">
        <f>'P_DE Marinas_Scenario_Calc'!S36</f>
        <v>5699.1614173568214</v>
      </c>
      <c r="K27" s="68">
        <f>'P_DE Marinas_Scenario_Calc'!T36</f>
        <v>0.16858935753140314</v>
      </c>
      <c r="L27" s="68">
        <f>'P_DE Marinas_Scenario_Calc'!U36</f>
        <v>0.369613190360009</v>
      </c>
    </row>
    <row r="28" spans="2:12" ht="14.25" customHeight="1" x14ac:dyDescent="0.2">
      <c r="B28" s="78" t="s">
        <v>212</v>
      </c>
      <c r="C28" s="89" t="s">
        <v>11</v>
      </c>
      <c r="D28" s="80" t="str">
        <f t="shared" si="0"/>
        <v>Pyrithione</v>
      </c>
      <c r="E28" s="68">
        <f>'P_DE Marinas_Scenario_Calc'!J37</f>
        <v>2.7686095870050824</v>
      </c>
      <c r="F28" s="68">
        <f>'P_DE Marinas_Scenario_Calc'!K37</f>
        <v>5.5372191740101648</v>
      </c>
      <c r="G28" s="68">
        <f>'P_DE Marinas_Scenario_Calc'!L37</f>
        <v>3.9373240069954284E-3</v>
      </c>
      <c r="H28" s="68">
        <f>'P_DE Marinas_Scenario_Calc'!M37</f>
        <v>7.8746480139908395E-3</v>
      </c>
      <c r="I28" s="68">
        <f>'P_DE Marinas_Scenario_Calc'!R37</f>
        <v>157.30736289801604</v>
      </c>
      <c r="J28" s="68">
        <f>'P_DE Marinas_Scenario_Calc'!S37</f>
        <v>651.43754988354874</v>
      </c>
      <c r="K28" s="68">
        <f>'P_DE Marinas_Scenario_Calc'!T37</f>
        <v>0.2237115913065584</v>
      </c>
      <c r="L28" s="68">
        <f>'P_DE Marinas_Scenario_Calc'!U37</f>
        <v>0.92642917811656933</v>
      </c>
    </row>
    <row r="29" spans="2:12" ht="14.25" customHeight="1" x14ac:dyDescent="0.2">
      <c r="B29" s="150" t="s">
        <v>161</v>
      </c>
      <c r="C29" s="150"/>
      <c r="D29" s="150"/>
      <c r="E29" s="69">
        <f>'P_DE Marinas_Scenario_Calc'!J38</f>
        <v>5.4639180064585577</v>
      </c>
      <c r="F29" s="69">
        <f>'P_DE Marinas_Scenario_Calc'!K38</f>
        <v>11.089095992827637</v>
      </c>
      <c r="G29" s="69">
        <f>'P_DE Marinas_Scenario_Calc'!L38</f>
        <v>2.9671726925526954E-3</v>
      </c>
      <c r="H29" s="69">
        <f>'P_DE Marinas_Scenario_Calc'!M38</f>
        <v>3.8703197094590732E-3</v>
      </c>
      <c r="I29" s="69">
        <f>'P_DE Marinas_Scenario_Calc'!R38</f>
        <v>310.44988673059987</v>
      </c>
      <c r="J29" s="69">
        <f>'P_DE Marinas_Scenario_Calc'!S38</f>
        <v>1304.5995285679573</v>
      </c>
      <c r="K29" s="69">
        <f>'P_DE Marinas_Scenario_Calc'!T38</f>
        <v>0.16858935753140314</v>
      </c>
      <c r="L29" s="69">
        <f>'P_DE Marinas_Scenario_Calc'!U38</f>
        <v>0.4553317305245968</v>
      </c>
    </row>
    <row r="30" spans="2:12" ht="14.25" customHeight="1" x14ac:dyDescent="0.2">
      <c r="B30" s="150" t="s">
        <v>160</v>
      </c>
      <c r="C30" s="150"/>
      <c r="D30" s="150"/>
      <c r="E30" s="69">
        <f>'P_DE Marinas_Scenario_Calc'!J39</f>
        <v>14.091195920551158</v>
      </c>
      <c r="F30" s="69">
        <f>'P_DE Marinas_Scenario_Calc'!K39</f>
        <v>114.97555575799102</v>
      </c>
      <c r="G30" s="69">
        <f>'P_DE Marinas_Scenario_Calc'!L39</f>
        <v>3.3903417585875546E-3</v>
      </c>
      <c r="H30" s="69">
        <f>'P_DE Marinas_Scenario_Calc'!M39</f>
        <v>3.8218068833992438E-2</v>
      </c>
      <c r="I30" s="69">
        <f>'P_DE Marinas_Scenario_Calc'!R39</f>
        <v>800.63613184949747</v>
      </c>
      <c r="J30" s="69">
        <f>'P_DE Marinas_Scenario_Calc'!S39</f>
        <v>13526.535971528352</v>
      </c>
      <c r="K30" s="69">
        <f>'P_DE Marinas_Scenario_Calc'!T39</f>
        <v>0.19263305446520193</v>
      </c>
      <c r="L30" s="69">
        <f>'P_DE Marinas_Scenario_Calc'!U39</f>
        <v>4.4962433922344038</v>
      </c>
    </row>
    <row r="31" spans="2:12" ht="14.25" customHeight="1" x14ac:dyDescent="0.2">
      <c r="B31" s="150" t="s">
        <v>12</v>
      </c>
      <c r="C31" s="150"/>
      <c r="D31" s="150"/>
      <c r="E31" s="69">
        <f>'P_DE Marinas_Scenario_Calc'!J40</f>
        <v>45.751604046451973</v>
      </c>
      <c r="F31" s="69">
        <f>'P_DE Marinas_Scenario_Calc'!K40</f>
        <v>1499.6960332541196</v>
      </c>
      <c r="G31" s="69">
        <f>'P_DE Marinas_Scenario_Calc'!L40</f>
        <v>9.8554928699058596E-3</v>
      </c>
      <c r="H31" s="69">
        <f>'P_DE Marinas_Scenario_Calc'!M40</f>
        <v>0.53117201789077495</v>
      </c>
      <c r="I31" s="69">
        <f>'P_DE Marinas_Scenario_Calc'!R40</f>
        <v>2599.5229571847713</v>
      </c>
      <c r="J31" s="69">
        <f>'P_DE Marinas_Scenario_Calc'!S40</f>
        <v>176434.82744166112</v>
      </c>
      <c r="K31" s="69">
        <f>'P_DE Marinas_Scenario_Calc'!T40</f>
        <v>0.55997118579010563</v>
      </c>
      <c r="L31" s="69">
        <f>'P_DE Marinas_Scenario_Calc'!U40</f>
        <v>62.490825634208811</v>
      </c>
    </row>
    <row r="32" spans="2:12" ht="14.25" customHeight="1" x14ac:dyDescent="0.2">
      <c r="B32" s="150" t="s">
        <v>13</v>
      </c>
      <c r="C32" s="150"/>
      <c r="D32" s="150"/>
      <c r="E32" s="69">
        <f>'P_DE Marinas_Scenario_Calc'!J41</f>
        <v>9.669882485321428E-2</v>
      </c>
      <c r="F32" s="69">
        <f>'P_DE Marinas_Scenario_Calc'!K41</f>
        <v>2.3023531204770568E-2</v>
      </c>
      <c r="G32" s="69">
        <f>'P_DE Marinas_Scenario_Calc'!L41</f>
        <v>9.3699119724398674E-5</v>
      </c>
      <c r="H32" s="69">
        <f>'P_DE Marinas_Scenario_Calc'!M41</f>
        <v>2.2309315852461654E-5</v>
      </c>
      <c r="I32" s="69">
        <f>'P_DE Marinas_Scenario_Calc'!R41</f>
        <v>5.4942514121144477</v>
      </c>
      <c r="J32" s="69">
        <f>'P_DE Marinas_Scenario_Calc'!S41</f>
        <v>2.7086507299730078</v>
      </c>
      <c r="K32" s="69">
        <f>'P_DE Marinas_Scenario_Calc'!T41</f>
        <v>5.3238136207044697E-3</v>
      </c>
      <c r="L32" s="69">
        <f>'P_DE Marinas_Scenario_Calc'!U41</f>
        <v>2.6246253944072532E-3</v>
      </c>
    </row>
    <row r="33" spans="2:14" x14ac:dyDescent="0.2">
      <c r="B33" s="74"/>
      <c r="C33" s="74"/>
      <c r="D33" s="74"/>
      <c r="E33" s="74"/>
      <c r="F33" s="74"/>
      <c r="G33" s="74"/>
      <c r="H33" s="74"/>
      <c r="I33" s="74"/>
      <c r="J33" s="74"/>
      <c r="K33" s="74"/>
      <c r="L33" s="74"/>
    </row>
    <row r="34" spans="2:14" x14ac:dyDescent="0.2">
      <c r="B34" s="60"/>
      <c r="C34" s="60"/>
      <c r="D34" s="61"/>
      <c r="E34" s="62"/>
      <c r="F34" s="62"/>
      <c r="G34" s="62"/>
      <c r="H34" s="62"/>
      <c r="I34" s="60"/>
      <c r="J34" s="60"/>
      <c r="K34" s="60"/>
      <c r="L34" s="60"/>
      <c r="M34" s="10"/>
      <c r="N34" s="10"/>
    </row>
    <row r="35" spans="2:14" x14ac:dyDescent="0.2">
      <c r="B35" s="60"/>
      <c r="C35" s="60"/>
      <c r="D35" s="61"/>
      <c r="E35" s="62"/>
      <c r="F35" s="62"/>
      <c r="G35" s="62"/>
      <c r="H35" s="62"/>
      <c r="I35" s="60"/>
      <c r="J35" s="60"/>
      <c r="K35" s="60"/>
      <c r="L35" s="60"/>
      <c r="M35" s="10"/>
      <c r="N35" s="10"/>
    </row>
    <row r="36" spans="2:14" x14ac:dyDescent="0.2">
      <c r="B36" s="60"/>
      <c r="C36" s="60"/>
      <c r="D36" s="61"/>
      <c r="E36" s="62"/>
      <c r="F36" s="62"/>
      <c r="G36" s="62"/>
      <c r="H36" s="62"/>
      <c r="I36" s="60"/>
      <c r="J36" s="60"/>
      <c r="K36" s="60"/>
      <c r="L36" s="60"/>
      <c r="M36" s="10"/>
      <c r="N36" s="10"/>
    </row>
    <row r="37" spans="2:14" x14ac:dyDescent="0.2">
      <c r="B37" s="60"/>
      <c r="C37" s="60"/>
      <c r="D37" s="61"/>
      <c r="E37" s="62"/>
      <c r="F37" s="62"/>
      <c r="G37" s="62"/>
      <c r="H37" s="62"/>
      <c r="I37" s="60"/>
      <c r="J37" s="60"/>
      <c r="K37" s="60"/>
      <c r="L37" s="60"/>
      <c r="M37" s="10"/>
      <c r="N37" s="10"/>
    </row>
    <row r="38" spans="2:14" x14ac:dyDescent="0.2">
      <c r="B38" s="60"/>
      <c r="C38" s="60"/>
      <c r="D38" s="61"/>
      <c r="E38" s="62"/>
      <c r="F38" s="62"/>
      <c r="G38" s="62"/>
      <c r="H38" s="62"/>
      <c r="I38" s="60"/>
      <c r="J38" s="60"/>
      <c r="K38" s="60"/>
      <c r="L38" s="60"/>
      <c r="M38" s="10"/>
      <c r="N38" s="10"/>
    </row>
    <row r="39" spans="2:14" x14ac:dyDescent="0.2">
      <c r="B39" s="60"/>
      <c r="C39" s="60"/>
      <c r="D39" s="61"/>
      <c r="E39" s="62"/>
      <c r="F39" s="62"/>
      <c r="G39" s="62"/>
      <c r="H39" s="62"/>
      <c r="I39" s="60"/>
      <c r="J39" s="60"/>
      <c r="K39" s="60"/>
      <c r="L39" s="60"/>
      <c r="M39" s="10"/>
      <c r="N39" s="10"/>
    </row>
    <row r="40" spans="2:14" x14ac:dyDescent="0.2">
      <c r="B40" s="60"/>
      <c r="C40" s="60"/>
      <c r="D40" s="61"/>
      <c r="E40" s="62"/>
      <c r="F40" s="62"/>
      <c r="G40" s="62"/>
      <c r="H40" s="62"/>
      <c r="I40" s="60"/>
      <c r="J40" s="60"/>
      <c r="K40" s="60"/>
      <c r="L40" s="60"/>
      <c r="M40" s="10"/>
      <c r="N40" s="10"/>
    </row>
    <row r="41" spans="2:14" x14ac:dyDescent="0.2">
      <c r="B41" s="60"/>
      <c r="C41" s="60"/>
      <c r="D41" s="61"/>
      <c r="E41" s="62"/>
      <c r="F41" s="62"/>
      <c r="G41" s="62"/>
      <c r="H41" s="62"/>
      <c r="I41" s="60"/>
      <c r="J41" s="60"/>
      <c r="K41" s="60"/>
      <c r="L41" s="60"/>
      <c r="M41" s="10"/>
      <c r="N41" s="10"/>
    </row>
    <row r="42" spans="2:14" x14ac:dyDescent="0.2">
      <c r="B42" s="60"/>
      <c r="C42" s="60"/>
      <c r="D42" s="61"/>
      <c r="E42" s="62"/>
      <c r="F42" s="62"/>
      <c r="G42" s="62"/>
      <c r="H42" s="62"/>
      <c r="I42" s="60"/>
      <c r="J42" s="60"/>
      <c r="K42" s="60"/>
      <c r="L42" s="60"/>
      <c r="M42" s="10"/>
      <c r="N42" s="10"/>
    </row>
    <row r="43" spans="2:14" x14ac:dyDescent="0.2">
      <c r="B43" s="60"/>
      <c r="C43" s="60"/>
      <c r="D43" s="61"/>
      <c r="E43" s="62"/>
      <c r="F43" s="62"/>
      <c r="G43" s="62"/>
      <c r="H43" s="62"/>
      <c r="I43" s="60"/>
      <c r="J43" s="60"/>
      <c r="K43" s="60"/>
      <c r="L43" s="60"/>
      <c r="M43" s="10"/>
      <c r="N43" s="10"/>
    </row>
    <row r="44" spans="2:14" x14ac:dyDescent="0.2">
      <c r="B44" s="60"/>
      <c r="C44" s="60"/>
      <c r="D44" s="61"/>
      <c r="E44" s="62"/>
      <c r="F44" s="62"/>
      <c r="G44" s="62"/>
      <c r="H44" s="62"/>
      <c r="I44" s="60"/>
      <c r="J44" s="60"/>
      <c r="K44" s="60"/>
      <c r="L44" s="60"/>
      <c r="M44" s="10"/>
      <c r="N44" s="10"/>
    </row>
    <row r="45" spans="2:14" x14ac:dyDescent="0.2">
      <c r="B45" s="60"/>
      <c r="C45" s="60"/>
      <c r="D45" s="61"/>
      <c r="E45" s="62"/>
      <c r="F45" s="62"/>
      <c r="G45" s="62"/>
      <c r="H45" s="62"/>
      <c r="I45" s="60"/>
      <c r="J45" s="60"/>
      <c r="K45" s="60"/>
      <c r="L45" s="60"/>
      <c r="M45" s="10"/>
      <c r="N45" s="10"/>
    </row>
    <row r="46" spans="2:14" x14ac:dyDescent="0.2">
      <c r="B46" s="60"/>
      <c r="C46" s="60"/>
      <c r="D46" s="61"/>
      <c r="E46" s="62"/>
      <c r="F46" s="62"/>
      <c r="G46" s="62"/>
      <c r="H46" s="62"/>
      <c r="I46" s="60"/>
      <c r="J46" s="60"/>
      <c r="K46" s="60"/>
      <c r="L46" s="60"/>
      <c r="M46" s="10"/>
      <c r="N46" s="10"/>
    </row>
    <row r="47" spans="2:14" x14ac:dyDescent="0.2">
      <c r="B47" s="60"/>
      <c r="C47" s="60"/>
      <c r="D47" s="61"/>
      <c r="E47" s="62"/>
      <c r="F47" s="62"/>
      <c r="G47" s="62"/>
      <c r="H47" s="62"/>
      <c r="I47" s="60"/>
      <c r="J47" s="60"/>
      <c r="K47" s="60"/>
      <c r="L47" s="60"/>
      <c r="M47" s="10"/>
      <c r="N47" s="10"/>
    </row>
    <row r="48" spans="2:14" x14ac:dyDescent="0.2">
      <c r="B48" s="60"/>
      <c r="C48" s="60"/>
      <c r="D48" s="61"/>
      <c r="E48" s="62"/>
      <c r="F48" s="62"/>
      <c r="G48" s="62"/>
      <c r="H48" s="62"/>
      <c r="I48" s="60"/>
      <c r="J48" s="60"/>
      <c r="K48" s="60"/>
      <c r="L48" s="60"/>
      <c r="M48" s="10"/>
      <c r="N48" s="10"/>
    </row>
    <row r="49" spans="2:14" x14ac:dyDescent="0.2">
      <c r="B49" s="10"/>
      <c r="C49" s="10"/>
      <c r="D49" s="10"/>
      <c r="E49" s="10"/>
      <c r="F49" s="10"/>
      <c r="G49" s="10"/>
      <c r="H49" s="10"/>
      <c r="I49" s="10"/>
      <c r="J49" s="10"/>
      <c r="K49" s="10"/>
      <c r="L49" s="10"/>
      <c r="M49" s="10"/>
      <c r="N49" s="10"/>
    </row>
    <row r="50" spans="2:14" x14ac:dyDescent="0.2">
      <c r="B50" s="10"/>
      <c r="C50" s="10"/>
      <c r="D50" s="10"/>
      <c r="E50" s="10"/>
      <c r="F50" s="10"/>
      <c r="G50" s="10"/>
      <c r="H50" s="10"/>
      <c r="I50" s="10"/>
      <c r="J50" s="10"/>
      <c r="K50" s="10"/>
      <c r="L50" s="10"/>
      <c r="M50" s="10"/>
      <c r="N50" s="10"/>
    </row>
  </sheetData>
  <mergeCells count="11">
    <mergeCell ref="B10:L10"/>
    <mergeCell ref="B30:D30"/>
    <mergeCell ref="B31:D31"/>
    <mergeCell ref="B32:D32"/>
    <mergeCell ref="B2:M2"/>
    <mergeCell ref="B4:F4"/>
    <mergeCell ref="B5:E5"/>
    <mergeCell ref="B6:E6"/>
    <mergeCell ref="B7:E7"/>
    <mergeCell ref="B8:E8"/>
    <mergeCell ref="B29:D29"/>
  </mergeCells>
  <conditionalFormatting sqref="I12:L28 I30:L32">
    <cfRule type="cellIs" dxfId="5" priority="4" operator="lessThan">
      <formula>1</formula>
    </cfRule>
    <cfRule type="cellIs" dxfId="4" priority="5" operator="greaterThan">
      <formula>1</formula>
    </cfRule>
    <cfRule type="cellIs" dxfId="3" priority="6" operator="equal">
      <formula>1</formula>
    </cfRule>
  </conditionalFormatting>
  <conditionalFormatting sqref="I29:L29">
    <cfRule type="cellIs" dxfId="2" priority="1" operator="lessThan">
      <formula>1</formula>
    </cfRule>
    <cfRule type="cellIs" dxfId="1" priority="2" operator="greaterThan">
      <formula>1</formula>
    </cfRule>
    <cfRule type="cellIs" dxfId="0" priority="3" operator="equal">
      <formula>1</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sheetPr>
  <dimension ref="B2:M38"/>
  <sheetViews>
    <sheetView zoomScale="90" zoomScaleNormal="90" workbookViewId="0">
      <selection activeCell="B7" sqref="B7:B23"/>
    </sheetView>
  </sheetViews>
  <sheetFormatPr baseColWidth="10" defaultColWidth="9" defaultRowHeight="12.75" x14ac:dyDescent="0.2"/>
  <cols>
    <col min="1" max="1" width="9" style="74"/>
    <col min="2" max="2" width="24" style="74" bestFit="1" customWidth="1"/>
    <col min="3" max="3" width="3.875" style="74" bestFit="1" customWidth="1"/>
    <col min="4" max="4" width="25.625" style="74" customWidth="1"/>
    <col min="5" max="15" width="15.625" style="74" customWidth="1"/>
    <col min="16" max="19" width="10.625" style="74" customWidth="1"/>
    <col min="20" max="20" width="14.5" style="74" bestFit="1" customWidth="1"/>
    <col min="21" max="21" width="18.375" style="74" bestFit="1" customWidth="1"/>
    <col min="22" max="23" width="14.5" style="74" bestFit="1" customWidth="1"/>
    <col min="24" max="16384" width="9" style="74"/>
  </cols>
  <sheetData>
    <row r="2" spans="2:13" ht="21" customHeight="1" thickBot="1" x14ac:dyDescent="0.35">
      <c r="B2" s="151" t="s">
        <v>90</v>
      </c>
      <c r="C2" s="151"/>
      <c r="D2" s="151"/>
      <c r="E2" s="151"/>
      <c r="F2" s="151"/>
      <c r="G2" s="151"/>
      <c r="H2" s="151"/>
      <c r="I2" s="151"/>
      <c r="J2" s="151"/>
      <c r="K2" s="151"/>
      <c r="L2" s="151"/>
      <c r="M2" s="151"/>
    </row>
    <row r="3" spans="2:13" ht="14.25" customHeight="1" thickTop="1" x14ac:dyDescent="0.2">
      <c r="B3" s="113" t="str">
        <f>Tooltype</f>
        <v>Calculator tool for the German scenario for inland water marinas</v>
      </c>
      <c r="C3" s="113"/>
      <c r="D3" s="113"/>
    </row>
    <row r="4" spans="2:13" ht="14.25" customHeight="1" x14ac:dyDescent="0.2"/>
    <row r="5" spans="2:13" ht="14.25" customHeight="1" x14ac:dyDescent="0.2">
      <c r="B5" s="152" t="s">
        <v>182</v>
      </c>
      <c r="C5" s="152"/>
      <c r="D5" s="152"/>
      <c r="E5" s="152"/>
      <c r="F5" s="152"/>
      <c r="G5" s="152"/>
      <c r="H5" s="152"/>
    </row>
    <row r="6" spans="2:13" ht="99.95" customHeight="1" x14ac:dyDescent="0.2">
      <c r="B6" s="87" t="s">
        <v>8</v>
      </c>
      <c r="C6" s="75" t="s">
        <v>109</v>
      </c>
      <c r="D6" s="93" t="s">
        <v>10</v>
      </c>
      <c r="E6" s="8" t="s">
        <v>115</v>
      </c>
      <c r="F6" s="8" t="s">
        <v>116</v>
      </c>
      <c r="G6" s="8" t="s">
        <v>113</v>
      </c>
      <c r="H6" s="8" t="s">
        <v>114</v>
      </c>
    </row>
    <row r="7" spans="2:13" ht="14.25" customHeight="1" x14ac:dyDescent="0.2">
      <c r="B7" s="78" t="s">
        <v>196</v>
      </c>
      <c r="C7" s="89" t="s">
        <v>11</v>
      </c>
      <c r="D7" s="94" t="str">
        <f t="shared" ref="D7:D23" si="0">Substance</f>
        <v>Copper and pyrithione</v>
      </c>
      <c r="E7" s="124">
        <f>'C_DE Marinas_Scenario_Calc'!R21+'P_DE Marinas_Scenario_Calc'!R21</f>
        <v>2227.9911369859174</v>
      </c>
      <c r="F7" s="124">
        <f>'C_DE Marinas_Scenario_Calc'!S21+'P_DE Marinas_Scenario_Calc'!S21</f>
        <v>1360.3982879591854</v>
      </c>
      <c r="G7" s="124">
        <f>'C_DE Marinas_Scenario_Calc'!T21+'P_DE Marinas_Scenario_Calc'!T21</f>
        <v>0.36696027162959088</v>
      </c>
      <c r="H7" s="124">
        <f>'C_DE Marinas_Scenario_Calc'!U21+'P_DE Marinas_Scenario_Calc'!U21</f>
        <v>0.39664870474240432</v>
      </c>
    </row>
    <row r="8" spans="2:13" ht="14.25" customHeight="1" x14ac:dyDescent="0.2">
      <c r="B8" s="78" t="s">
        <v>197</v>
      </c>
      <c r="C8" s="89" t="s">
        <v>11</v>
      </c>
      <c r="D8" s="94" t="str">
        <f t="shared" si="0"/>
        <v>Copper and pyrithione</v>
      </c>
      <c r="E8" s="125">
        <f>'C_DE Marinas_Scenario_Calc'!R22+'P_DE Marinas_Scenario_Calc'!R22</f>
        <v>248.11528913302928</v>
      </c>
      <c r="F8" s="125">
        <f>'C_DE Marinas_Scenario_Calc'!S22+'P_DE Marinas_Scenario_Calc'!S22</f>
        <v>1306.1371058870734</v>
      </c>
      <c r="G8" s="125">
        <f>'C_DE Marinas_Scenario_Calc'!T22+'P_DE Marinas_Scenario_Calc'!T22</f>
        <v>0.18083881054191622</v>
      </c>
      <c r="H8" s="125">
        <f>'C_DE Marinas_Scenario_Calc'!U22+'P_DE Marinas_Scenario_Calc'!U22</f>
        <v>0.59953905236836891</v>
      </c>
    </row>
    <row r="9" spans="2:13" ht="14.25" customHeight="1" x14ac:dyDescent="0.2">
      <c r="B9" s="78" t="s">
        <v>198</v>
      </c>
      <c r="C9" s="89" t="s">
        <v>11</v>
      </c>
      <c r="D9" s="94" t="str">
        <f t="shared" si="0"/>
        <v>Copper and pyrithione</v>
      </c>
      <c r="E9" s="125">
        <f>'C_DE Marinas_Scenario_Calc'!R23+'P_DE Marinas_Scenario_Calc'!R23</f>
        <v>1562.7578169230289</v>
      </c>
      <c r="F9" s="125">
        <f>'C_DE Marinas_Scenario_Calc'!S23+'P_DE Marinas_Scenario_Calc'!S23</f>
        <v>16286.851395029449</v>
      </c>
      <c r="G9" s="125">
        <f>'C_DE Marinas_Scenario_Calc'!T23+'P_DE Marinas_Scenario_Calc'!T23</f>
        <v>0.41078331168851434</v>
      </c>
      <c r="H9" s="125">
        <f>'C_DE Marinas_Scenario_Calc'!U23+'P_DE Marinas_Scenario_Calc'!U23</f>
        <v>3.3462418167165864</v>
      </c>
    </row>
    <row r="10" spans="2:13" ht="14.25" customHeight="1" x14ac:dyDescent="0.2">
      <c r="B10" s="78" t="s">
        <v>199</v>
      </c>
      <c r="C10" s="89" t="s">
        <v>11</v>
      </c>
      <c r="D10" s="94" t="str">
        <f t="shared" si="0"/>
        <v>Copper and pyrithione</v>
      </c>
      <c r="E10" s="125">
        <f>'C_DE Marinas_Scenario_Calc'!R24+'P_DE Marinas_Scenario_Calc'!R24</f>
        <v>582.94485477647845</v>
      </c>
      <c r="F10" s="125">
        <f>'C_DE Marinas_Scenario_Calc'!S24+'P_DE Marinas_Scenario_Calc'!S24</f>
        <v>12009.466115779971</v>
      </c>
      <c r="G10" s="125">
        <f>'C_DE Marinas_Scenario_Calc'!T24+'P_DE Marinas_Scenario_Calc'!T24</f>
        <v>0.25937349480188765</v>
      </c>
      <c r="H10" s="125">
        <f>'C_DE Marinas_Scenario_Calc'!U24+'P_DE Marinas_Scenario_Calc'!U24</f>
        <v>3.2639597951250603</v>
      </c>
    </row>
    <row r="11" spans="2:13" ht="14.25" customHeight="1" x14ac:dyDescent="0.2">
      <c r="B11" s="78" t="s">
        <v>200</v>
      </c>
      <c r="C11" s="89" t="s">
        <v>11</v>
      </c>
      <c r="D11" s="94" t="str">
        <f t="shared" si="0"/>
        <v>Copper and pyrithione</v>
      </c>
      <c r="E11" s="125">
        <f>'C_DE Marinas_Scenario_Calc'!R25+'P_DE Marinas_Scenario_Calc'!R25</f>
        <v>120.48605531353023</v>
      </c>
      <c r="F11" s="125">
        <f>'C_DE Marinas_Scenario_Calc'!S25+'P_DE Marinas_Scenario_Calc'!S25</f>
        <v>2376.3923082038145</v>
      </c>
      <c r="G11" s="125">
        <f>'C_DE Marinas_Scenario_Calc'!T25+'P_DE Marinas_Scenario_Calc'!T25</f>
        <v>0.13876852336827086</v>
      </c>
      <c r="H11" s="125">
        <f>'C_DE Marinas_Scenario_Calc'!U25+'P_DE Marinas_Scenario_Calc'!U25</f>
        <v>0.75378477764911778</v>
      </c>
    </row>
    <row r="12" spans="2:13" ht="14.25" customHeight="1" x14ac:dyDescent="0.2">
      <c r="B12" s="78" t="s">
        <v>201</v>
      </c>
      <c r="C12" s="89" t="s">
        <v>11</v>
      </c>
      <c r="D12" s="94" t="str">
        <f t="shared" si="0"/>
        <v>Copper and pyrithione</v>
      </c>
      <c r="E12" s="125">
        <f>'C_DE Marinas_Scenario_Calc'!R26+'P_DE Marinas_Scenario_Calc'!R26</f>
        <v>165.85493590497538</v>
      </c>
      <c r="F12" s="125">
        <f>'C_DE Marinas_Scenario_Calc'!S26+'P_DE Marinas_Scenario_Calc'!S26</f>
        <v>719.32764871538973</v>
      </c>
      <c r="G12" s="125">
        <f>'C_DE Marinas_Scenario_Calc'!T26+'P_DE Marinas_Scenario_Calc'!T26</f>
        <v>0.21345604463023221</v>
      </c>
      <c r="H12" s="125">
        <f>'C_DE Marinas_Scenario_Calc'!U26+'P_DE Marinas_Scenario_Calc'!U26</f>
        <v>0.67799171618643883</v>
      </c>
    </row>
    <row r="13" spans="2:13" ht="14.25" customHeight="1" x14ac:dyDescent="0.2">
      <c r="B13" s="78" t="s">
        <v>202</v>
      </c>
      <c r="C13" s="89" t="s">
        <v>11</v>
      </c>
      <c r="D13" s="94" t="str">
        <f t="shared" si="0"/>
        <v>Copper and pyrithione</v>
      </c>
      <c r="E13" s="125">
        <f>'C_DE Marinas_Scenario_Calc'!R27+'P_DE Marinas_Scenario_Calc'!R27</f>
        <v>311.0524313609219</v>
      </c>
      <c r="F13" s="125">
        <f>'C_DE Marinas_Scenario_Calc'!S27+'P_DE Marinas_Scenario_Calc'!S27</f>
        <v>125.18742571692873</v>
      </c>
      <c r="G13" s="125">
        <f>'C_DE Marinas_Scenario_Calc'!T27+'P_DE Marinas_Scenario_Calc'!T27</f>
        <v>0.30675313638439788</v>
      </c>
      <c r="H13" s="125">
        <f>'C_DE Marinas_Scenario_Calc'!U27+'P_DE Marinas_Scenario_Calc'!U27</f>
        <v>0.31931954142785746</v>
      </c>
    </row>
    <row r="14" spans="2:13" ht="14.25" customHeight="1" x14ac:dyDescent="0.2">
      <c r="B14" s="78" t="s">
        <v>203</v>
      </c>
      <c r="C14" s="89" t="s">
        <v>11</v>
      </c>
      <c r="D14" s="94" t="str">
        <f t="shared" si="0"/>
        <v>Copper and pyrithione</v>
      </c>
      <c r="E14" s="125">
        <f>'C_DE Marinas_Scenario_Calc'!R28+'P_DE Marinas_Scenario_Calc'!R28</f>
        <v>610.27001803940982</v>
      </c>
      <c r="F14" s="125">
        <f>'C_DE Marinas_Scenario_Calc'!S28+'P_DE Marinas_Scenario_Calc'!S28</f>
        <v>176439.17523096499</v>
      </c>
      <c r="G14" s="125">
        <f>'C_DE Marinas_Scenario_Calc'!T28+'P_DE Marinas_Scenario_Calc'!T28</f>
        <v>0.32892181241188101</v>
      </c>
      <c r="H14" s="125">
        <f>'C_DE Marinas_Scenario_Calc'!U28+'P_DE Marinas_Scenario_Calc'!U28</f>
        <v>62.733637380518758</v>
      </c>
    </row>
    <row r="15" spans="2:13" ht="14.25" customHeight="1" x14ac:dyDescent="0.2">
      <c r="B15" s="78" t="s">
        <v>204</v>
      </c>
      <c r="C15" s="89" t="s">
        <v>11</v>
      </c>
      <c r="D15" s="94" t="str">
        <f t="shared" si="0"/>
        <v>Copper and pyrithione</v>
      </c>
      <c r="E15" s="125">
        <f>'C_DE Marinas_Scenario_Calc'!R29+'P_DE Marinas_Scenario_Calc'!R29</f>
        <v>182.41571361040479</v>
      </c>
      <c r="F15" s="125">
        <f>'C_DE Marinas_Scenario_Calc'!S29+'P_DE Marinas_Scenario_Calc'!S29</f>
        <v>596.03513795971094</v>
      </c>
      <c r="G15" s="125">
        <f>'C_DE Marinas_Scenario_Calc'!T29+'P_DE Marinas_Scenario_Calc'!T29</f>
        <v>0.44960106862252669</v>
      </c>
      <c r="H15" s="125">
        <f>'C_DE Marinas_Scenario_Calc'!U29+'P_DE Marinas_Scenario_Calc'!U29</f>
        <v>1.3420333226824881</v>
      </c>
    </row>
    <row r="16" spans="2:13" ht="14.25" x14ac:dyDescent="0.2">
      <c r="B16" s="78" t="s">
        <v>205</v>
      </c>
      <c r="C16" s="89" t="s">
        <v>11</v>
      </c>
      <c r="D16" s="94" t="str">
        <f t="shared" si="0"/>
        <v>Copper and pyrithione</v>
      </c>
      <c r="E16" s="125">
        <f>'C_DE Marinas_Scenario_Calc'!R30+'P_DE Marinas_Scenario_Calc'!R30</f>
        <v>5.6181991522422203</v>
      </c>
      <c r="F16" s="125">
        <f>'C_DE Marinas_Scenario_Calc'!S30+'P_DE Marinas_Scenario_Calc'!S30</f>
        <v>2.9802038579650088</v>
      </c>
      <c r="G16" s="125">
        <f>'C_DE Marinas_Scenario_Calc'!T30+'P_DE Marinas_Scenario_Calc'!T30</f>
        <v>0.11815509283168919</v>
      </c>
      <c r="H16" s="125">
        <f>'C_DE Marinas_Scenario_Calc'!U30+'P_DE Marinas_Scenario_Calc'!U30</f>
        <v>0.24403313107161267</v>
      </c>
    </row>
    <row r="17" spans="2:8" ht="14.25" x14ac:dyDescent="0.2">
      <c r="B17" s="78" t="s">
        <v>206</v>
      </c>
      <c r="C17" s="89" t="s">
        <v>11</v>
      </c>
      <c r="D17" s="94" t="str">
        <f t="shared" si="0"/>
        <v>Copper and pyrithione</v>
      </c>
      <c r="E17" s="125">
        <f>'C_DE Marinas_Scenario_Calc'!R31+'P_DE Marinas_Scenario_Calc'!R31</f>
        <v>1991.2491668067767</v>
      </c>
      <c r="F17" s="125">
        <f>'C_DE Marinas_Scenario_Calc'!S31+'P_DE Marinas_Scenario_Calc'!S31</f>
        <v>8716.6474466760592</v>
      </c>
      <c r="G17" s="125">
        <f>'C_DE Marinas_Scenario_Calc'!T31+'P_DE Marinas_Scenario_Calc'!T31</f>
        <v>0.67368440153161346</v>
      </c>
      <c r="H17" s="125">
        <f>'C_DE Marinas_Scenario_Calc'!U31+'P_DE Marinas_Scenario_Calc'!U31</f>
        <v>2.696524767955728</v>
      </c>
    </row>
    <row r="18" spans="2:8" ht="14.25" customHeight="1" x14ac:dyDescent="0.2">
      <c r="B18" s="78" t="s">
        <v>207</v>
      </c>
      <c r="C18" s="89" t="s">
        <v>11</v>
      </c>
      <c r="D18" s="94" t="str">
        <f t="shared" si="0"/>
        <v>Copper and pyrithione</v>
      </c>
      <c r="E18" s="125">
        <f>'C_DE Marinas_Scenario_Calc'!R32+'P_DE Marinas_Scenario_Calc'!R32</f>
        <v>904.62131975600346</v>
      </c>
      <c r="F18" s="125">
        <f>'C_DE Marinas_Scenario_Calc'!S32+'P_DE Marinas_Scenario_Calc'!S32</f>
        <v>1704.4398174560724</v>
      </c>
      <c r="G18" s="125">
        <f>'C_DE Marinas_Scenario_Calc'!T32+'P_DE Marinas_Scenario_Calc'!T32</f>
        <v>0.60023077079099119</v>
      </c>
      <c r="H18" s="125">
        <f>'C_DE Marinas_Scenario_Calc'!U32+'P_DE Marinas_Scenario_Calc'!U32</f>
        <v>1.159717252706298</v>
      </c>
    </row>
    <row r="19" spans="2:8" ht="14.25" customHeight="1" x14ac:dyDescent="0.2">
      <c r="B19" s="78" t="s">
        <v>208</v>
      </c>
      <c r="C19" s="89" t="s">
        <v>11</v>
      </c>
      <c r="D19" s="94" t="str">
        <f t="shared" si="0"/>
        <v>Copper and pyrithione</v>
      </c>
      <c r="E19" s="125">
        <f>'C_DE Marinas_Scenario_Calc'!R33+'P_DE Marinas_Scenario_Calc'!R33</f>
        <v>156.749102994743</v>
      </c>
      <c r="F19" s="125">
        <f>'C_DE Marinas_Scenario_Calc'!S33+'P_DE Marinas_Scenario_Calc'!S33</f>
        <v>1012.7190106049878</v>
      </c>
      <c r="G19" s="125">
        <f>'C_DE Marinas_Scenario_Calc'!T33+'P_DE Marinas_Scenario_Calc'!T33</f>
        <v>0.18331682825714615</v>
      </c>
      <c r="H19" s="125">
        <f>'C_DE Marinas_Scenario_Calc'!U33+'P_DE Marinas_Scenario_Calc'!U33</f>
        <v>0.69705506537999307</v>
      </c>
    </row>
    <row r="20" spans="2:8" ht="14.25" customHeight="1" x14ac:dyDescent="0.2">
      <c r="B20" s="78" t="s">
        <v>209</v>
      </c>
      <c r="C20" s="89" t="s">
        <v>11</v>
      </c>
      <c r="D20" s="94" t="str">
        <f t="shared" si="0"/>
        <v>Copper and pyrithione</v>
      </c>
      <c r="E20" s="125">
        <f>'C_DE Marinas_Scenario_Calc'!R34+'P_DE Marinas_Scenario_Calc'!R34</f>
        <v>158.72846668418168</v>
      </c>
      <c r="F20" s="125">
        <f>'C_DE Marinas_Scenario_Calc'!S34+'P_DE Marinas_Scenario_Calc'!S34</f>
        <v>37.517487669038111</v>
      </c>
      <c r="G20" s="125">
        <f>'C_DE Marinas_Scenario_Calc'!T34+'P_DE Marinas_Scenario_Calc'!T34</f>
        <v>0.141058950314983</v>
      </c>
      <c r="H20" s="125">
        <f>'C_DE Marinas_Scenario_Calc'!U34+'P_DE Marinas_Scenario_Calc'!U34</f>
        <v>0.24801560238056264</v>
      </c>
    </row>
    <row r="21" spans="2:8" ht="14.25" customHeight="1" x14ac:dyDescent="0.2">
      <c r="B21" s="78" t="s">
        <v>210</v>
      </c>
      <c r="C21" s="89" t="s">
        <v>11</v>
      </c>
      <c r="D21" s="94" t="str">
        <f t="shared" si="0"/>
        <v>Copper and pyrithione</v>
      </c>
      <c r="E21" s="125">
        <f>'C_DE Marinas_Scenario_Calc'!R35+'P_DE Marinas_Scenario_Calc'!R35</f>
        <v>1643.112362244505</v>
      </c>
      <c r="F21" s="125">
        <f>'C_DE Marinas_Scenario_Calc'!S35+'P_DE Marinas_Scenario_Calc'!S35</f>
        <v>955.03411513878802</v>
      </c>
      <c r="G21" s="125">
        <f>'C_DE Marinas_Scenario_Calc'!T35+'P_DE Marinas_Scenario_Calc'!T35</f>
        <v>0.20823883467974508</v>
      </c>
      <c r="H21" s="125">
        <f>'C_DE Marinas_Scenario_Calc'!U35+'P_DE Marinas_Scenario_Calc'!U35</f>
        <v>0.29685218827321191</v>
      </c>
    </row>
    <row r="22" spans="2:8" ht="14.25" customHeight="1" x14ac:dyDescent="0.2">
      <c r="B22" s="78" t="s">
        <v>211</v>
      </c>
      <c r="C22" s="89" t="s">
        <v>11</v>
      </c>
      <c r="D22" s="94" t="str">
        <f t="shared" si="0"/>
        <v>Copper and pyrithione</v>
      </c>
      <c r="E22" s="125">
        <f>'C_DE Marinas_Scenario_Calc'!R36+'P_DE Marinas_Scenario_Calc'!R36</f>
        <v>2602.9266245778767</v>
      </c>
      <c r="F22" s="125">
        <f>'C_DE Marinas_Scenario_Calc'!S36+'P_DE Marinas_Scenario_Calc'!S36</f>
        <v>5708.3266203043941</v>
      </c>
      <c r="G22" s="125">
        <f>'C_DE Marinas_Scenario_Calc'!T36+'P_DE Marinas_Scenario_Calc'!T36</f>
        <v>0.28164419968796545</v>
      </c>
      <c r="H22" s="125">
        <f>'C_DE Marinas_Scenario_Calc'!U36+'P_DE Marinas_Scenario_Calc'!U36</f>
        <v>0.61162793398952153</v>
      </c>
    </row>
    <row r="23" spans="2:8" ht="14.25" customHeight="1" x14ac:dyDescent="0.2">
      <c r="B23" s="78" t="s">
        <v>212</v>
      </c>
      <c r="C23" s="89" t="s">
        <v>11</v>
      </c>
      <c r="D23" s="94" t="str">
        <f t="shared" si="0"/>
        <v>Copper and pyrithione</v>
      </c>
      <c r="E23" s="125">
        <f>'C_DE Marinas_Scenario_Calc'!R37+'P_DE Marinas_Scenario_Calc'!R37</f>
        <v>157.73265519502425</v>
      </c>
      <c r="F23" s="125">
        <f>'C_DE Marinas_Scenario_Calc'!S37+'P_DE Marinas_Scenario_Calc'!S37</f>
        <v>652.52626217127045</v>
      </c>
      <c r="G23" s="125">
        <f>'C_DE Marinas_Scenario_Calc'!T37+'P_DE Marinas_Scenario_Calc'!T37</f>
        <v>0.33697695795914889</v>
      </c>
      <c r="H23" s="125">
        <f>'C_DE Marinas_Scenario_Calc'!U37+'P_DE Marinas_Scenario_Calc'!U37</f>
        <v>1.1690148032120535</v>
      </c>
    </row>
    <row r="24" spans="2:8" ht="14.25" customHeight="1" x14ac:dyDescent="0.2">
      <c r="B24" s="95" t="s">
        <v>161</v>
      </c>
      <c r="C24" s="96"/>
      <c r="D24" s="12"/>
      <c r="E24" s="97">
        <f>MEDIAN($E$7:$E$23)</f>
        <v>311.0524313609219</v>
      </c>
      <c r="F24" s="97">
        <f>MEDIAN($F$7:$F$23)</f>
        <v>1306.1371058870734</v>
      </c>
      <c r="G24" s="97">
        <f>MEDIAN($G$7:$G$23)</f>
        <v>0.28164419968796545</v>
      </c>
      <c r="H24" s="97">
        <f>MEDIAN($H$7:$H$23)</f>
        <v>0.69705506537999307</v>
      </c>
    </row>
    <row r="25" spans="2:8" ht="14.25" customHeight="1" x14ac:dyDescent="0.2">
      <c r="B25" s="95" t="s">
        <v>160</v>
      </c>
      <c r="C25" s="96"/>
      <c r="D25" s="12"/>
      <c r="E25" s="97">
        <f>AVERAGE($E$7:$E$23)</f>
        <v>801.91918526229711</v>
      </c>
      <c r="F25" s="97">
        <f>AVERAGE($F$7:$F$23)</f>
        <v>13529.950683535004</v>
      </c>
      <c r="G25" s="97">
        <f>AVERAGE($G$7:$G$23)</f>
        <v>0.3058095594195589</v>
      </c>
      <c r="H25" s="97">
        <f>AVERAGE($H$7:$H$23)</f>
        <v>4.7385880501403568</v>
      </c>
    </row>
    <row r="26" spans="2:8" ht="14.25" customHeight="1" x14ac:dyDescent="0.2">
      <c r="B26" s="95" t="s">
        <v>12</v>
      </c>
      <c r="C26" s="96"/>
      <c r="D26" s="12"/>
      <c r="E26" s="97">
        <f>MAX($E$7:$E$23)</f>
        <v>2602.9266245778767</v>
      </c>
      <c r="F26" s="97">
        <f>MAX($F$7:$F$23)</f>
        <v>176439.17523096499</v>
      </c>
      <c r="G26" s="97">
        <f>MAX($G$7:$G$23)</f>
        <v>0.67368440153161346</v>
      </c>
      <c r="H26" s="97">
        <f>MAX($H$7:$H$23)</f>
        <v>62.733637380518758</v>
      </c>
    </row>
    <row r="27" spans="2:8" ht="14.25" customHeight="1" x14ac:dyDescent="0.2">
      <c r="B27" s="95" t="s">
        <v>13</v>
      </c>
      <c r="C27" s="96"/>
      <c r="D27" s="12"/>
      <c r="E27" s="97">
        <f>MIN($E$7:$E$23)</f>
        <v>5.6181991522422203</v>
      </c>
      <c r="F27" s="97">
        <f>MIN($F$7:$F$23)</f>
        <v>2.9802038579650088</v>
      </c>
      <c r="G27" s="97">
        <f>MIN($G$7:$G$23)</f>
        <v>0.11815509283168919</v>
      </c>
      <c r="H27" s="97">
        <f>MIN($H$7:$H$23)</f>
        <v>0.24403313107161267</v>
      </c>
    </row>
    <row r="28" spans="2:8" ht="14.25" customHeight="1" x14ac:dyDescent="0.2">
      <c r="B28" s="123" t="s">
        <v>84</v>
      </c>
      <c r="C28" s="12"/>
      <c r="D28" s="12"/>
      <c r="E28" s="97">
        <f>_xlfn.PERCENTILE.INC($E$7:$E$23,0.9)</f>
        <v>2085.945954878433</v>
      </c>
      <c r="F28" s="97">
        <f>_xlfn.PERCENTILE.INC($F$7:$F$23,0.9)</f>
        <v>13720.420227479764</v>
      </c>
      <c r="G28" s="97">
        <f>_xlfn.PERCENTILE.INC($G$7:$G$23,0.9)</f>
        <v>0.50985294948991255</v>
      </c>
      <c r="H28" s="97">
        <f>_xlfn.PERCENTILE.INC($H$7:$H$23,0.9)</f>
        <v>3.2968726037616709</v>
      </c>
    </row>
    <row r="29" spans="2:8" ht="14.25" customHeight="1" x14ac:dyDescent="0.2">
      <c r="B29" s="123" t="s">
        <v>85</v>
      </c>
      <c r="C29" s="12"/>
      <c r="D29" s="12"/>
      <c r="E29" s="97">
        <f>_xlfn.PERCENTILE.INC($E$7:$E$23,0.8)</f>
        <v>1627.0414531802098</v>
      </c>
      <c r="F29" s="97">
        <f>_xlfn.PERCENTILE.INC($F$7:$F$23,0.8)</f>
        <v>8114.9832814017282</v>
      </c>
      <c r="G29" s="97">
        <f>_xlfn.PERCENTILE.INC($G$7:$G$23,0.8)</f>
        <v>0.40201870367672965</v>
      </c>
      <c r="H29" s="97">
        <f>_xlfn.PERCENTILE.INC($H$7:$H$23,0.8)</f>
        <v>2.4256264789010809</v>
      </c>
    </row>
    <row r="30" spans="2:8" ht="14.25" customHeight="1" x14ac:dyDescent="0.2">
      <c r="B30" s="123" t="s">
        <v>86</v>
      </c>
      <c r="C30" s="12"/>
      <c r="D30" s="12"/>
      <c r="E30" s="97">
        <f>_xlfn.PERCENTILE.INC($E$7:$E$23,0.75)</f>
        <v>1562.7578169230289</v>
      </c>
      <c r="F30" s="97">
        <f>_xlfn.PERCENTILE.INC($F$7:$F$23,0.75)</f>
        <v>5708.3266203043941</v>
      </c>
      <c r="G30" s="97">
        <f>_xlfn.PERCENTILE.INC($G$7:$G$23,0.75)</f>
        <v>0.36696027162959088</v>
      </c>
      <c r="H30" s="97">
        <f>_xlfn.PERCENTILE.INC($H$7:$H$23,0.75)</f>
        <v>1.3420333226824881</v>
      </c>
    </row>
    <row r="31" spans="2:8" ht="14.25" customHeight="1" x14ac:dyDescent="0.2">
      <c r="B31" s="123" t="s">
        <v>87</v>
      </c>
      <c r="C31" s="12"/>
      <c r="D31" s="12"/>
      <c r="E31" s="97">
        <f>_xlfn.PERCENTILE.INC($E$7:$E$23,0.5)</f>
        <v>311.0524313609219</v>
      </c>
      <c r="F31" s="97">
        <f>_xlfn.PERCENTILE.INC($F$7:$F$23,0.5)</f>
        <v>1306.1371058870734</v>
      </c>
      <c r="G31" s="97">
        <f>_xlfn.PERCENTILE.INC($G$7:$G$23,0.5)</f>
        <v>0.28164419968796545</v>
      </c>
      <c r="H31" s="97">
        <f>_xlfn.PERCENTILE.INC($H$7:$H$23,0.5)</f>
        <v>0.69705506537999307</v>
      </c>
    </row>
    <row r="32" spans="2:8" ht="14.25" customHeight="1" x14ac:dyDescent="0.2">
      <c r="B32" s="123" t="s">
        <v>88</v>
      </c>
      <c r="C32" s="12"/>
      <c r="D32" s="12"/>
      <c r="E32" s="97">
        <f>_xlfn.PERCENTILE.INC($E$7:$E$23,0.25)</f>
        <v>158.72846668418168</v>
      </c>
      <c r="F32" s="97">
        <f>_xlfn.PERCENTILE.INC($F$7:$F$23,0.25)</f>
        <v>652.52626217127045</v>
      </c>
      <c r="G32" s="97">
        <f>_xlfn.PERCENTILE.INC($G$7:$G$23,0.25)</f>
        <v>0.18331682825714615</v>
      </c>
      <c r="H32" s="97">
        <f>_xlfn.PERCENTILE.INC($H$7:$H$23,0.25)</f>
        <v>0.39664870474240432</v>
      </c>
    </row>
    <row r="33" spans="2:8" ht="14.25" customHeight="1" x14ac:dyDescent="0.2">
      <c r="B33" s="123" t="s">
        <v>89</v>
      </c>
      <c r="C33" s="12"/>
      <c r="D33" s="12"/>
      <c r="E33" s="97">
        <f>_xlfn.PERCENTILE.INC($E$7:$E$23,0.1)</f>
        <v>142.24388392225791</v>
      </c>
      <c r="F33" s="97">
        <f>_xlfn.PERCENTILE.INC($F$7:$F$23,0.1)</f>
        <v>90.119450497772476</v>
      </c>
      <c r="G33" s="97">
        <f>_xlfn.PERCENTILE.INC($G$7:$G$23,0.1)</f>
        <v>0.14014277953629814</v>
      </c>
      <c r="H33" s="97">
        <f>_xlfn.PERCENTILE.INC($H$7:$H$23,0.1)</f>
        <v>0.2773175539161522</v>
      </c>
    </row>
    <row r="34" spans="2:8" ht="14.25" customHeight="1" x14ac:dyDescent="0.2"/>
    <row r="35" spans="2:8" ht="14.25" customHeight="1" x14ac:dyDescent="0.2"/>
    <row r="36" spans="2:8" ht="14.25" customHeight="1" x14ac:dyDescent="0.2"/>
    <row r="37" spans="2:8" ht="14.25" customHeight="1" x14ac:dyDescent="0.2"/>
    <row r="38" spans="2:8" ht="14.25" customHeight="1" x14ac:dyDescent="0.2"/>
  </sheetData>
  <mergeCells count="2">
    <mergeCell ref="B2:M2"/>
    <mergeCell ref="B5:H5"/>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sheetPr>
  <dimension ref="A2:U47"/>
  <sheetViews>
    <sheetView topLeftCell="A13" zoomScale="90" zoomScaleNormal="90" workbookViewId="0">
      <selection activeCell="B21" sqref="B21:B37"/>
    </sheetView>
  </sheetViews>
  <sheetFormatPr baseColWidth="10" defaultColWidth="9" defaultRowHeight="12.75" x14ac:dyDescent="0.2"/>
  <cols>
    <col min="1" max="1" width="9" style="1"/>
    <col min="2" max="2" width="58.375" style="1" bestFit="1" customWidth="1"/>
    <col min="3" max="3" width="3.875" style="1" bestFit="1" customWidth="1"/>
    <col min="4" max="4" width="28.625" style="1" customWidth="1"/>
    <col min="5" max="5" width="13.625" style="1" bestFit="1" customWidth="1"/>
    <col min="6" max="13" width="15.625" style="1" customWidth="1"/>
    <col min="14" max="17" width="11.625" style="1" customWidth="1"/>
    <col min="18" max="18" width="14.5" style="1" bestFit="1" customWidth="1"/>
    <col min="19" max="19" width="18.375" style="1" bestFit="1" customWidth="1"/>
    <col min="20" max="21" width="14.5" style="1" bestFit="1" customWidth="1"/>
    <col min="22" max="16384" width="9" style="1"/>
  </cols>
  <sheetData>
    <row r="2" spans="2:17" ht="21" customHeight="1" thickBot="1" x14ac:dyDescent="0.35">
      <c r="B2" s="155" t="s">
        <v>90</v>
      </c>
      <c r="C2" s="155"/>
      <c r="D2" s="155"/>
      <c r="E2" s="155"/>
      <c r="F2" s="155"/>
      <c r="G2" s="155"/>
      <c r="H2" s="155"/>
      <c r="I2" s="155"/>
      <c r="J2" s="155"/>
      <c r="K2" s="155"/>
      <c r="L2" s="155"/>
      <c r="M2" s="155"/>
      <c r="N2" s="155"/>
      <c r="O2" s="155"/>
      <c r="P2" s="155"/>
      <c r="Q2" s="155"/>
    </row>
    <row r="3" spans="2:17" ht="15" customHeight="1" thickTop="1" x14ac:dyDescent="0.2">
      <c r="B3" s="113" t="str">
        <f>Tooltype</f>
        <v>Calculator tool for the German scenario for inland water marinas</v>
      </c>
    </row>
    <row r="4" spans="2:17" ht="15" customHeight="1" thickBot="1" x14ac:dyDescent="0.35">
      <c r="B4" s="156" t="s">
        <v>47</v>
      </c>
      <c r="C4" s="156"/>
      <c r="D4" s="156"/>
      <c r="E4" s="156"/>
      <c r="F4" s="156"/>
      <c r="G4" s="156"/>
      <c r="J4" s="156" t="s">
        <v>155</v>
      </c>
      <c r="K4" s="156"/>
      <c r="L4" s="156"/>
      <c r="M4" s="156"/>
      <c r="N4" s="156"/>
      <c r="O4" s="156"/>
      <c r="P4" s="156"/>
    </row>
    <row r="5" spans="2:17" ht="15" customHeight="1" thickTop="1" x14ac:dyDescent="0.2"/>
    <row r="6" spans="2:17" ht="15" customHeight="1" x14ac:dyDescent="0.2">
      <c r="B6" s="1" t="s">
        <v>66</v>
      </c>
      <c r="F6" s="48">
        <v>2.5</v>
      </c>
      <c r="G6" s="23" t="s">
        <v>92</v>
      </c>
      <c r="J6" s="2" t="s">
        <v>156</v>
      </c>
      <c r="K6" s="2"/>
      <c r="L6" s="2"/>
      <c r="M6" s="2"/>
      <c r="N6" s="2"/>
      <c r="O6" s="50">
        <v>3070</v>
      </c>
      <c r="P6" s="2" t="s">
        <v>139</v>
      </c>
    </row>
    <row r="7" spans="2:17" ht="15" customHeight="1" x14ac:dyDescent="0.2">
      <c r="B7" s="1" t="s">
        <v>52</v>
      </c>
      <c r="F7" s="1">
        <f>C_Average_biocide_release_over_the_lifetime_of_the_paint_M</f>
        <v>2.5</v>
      </c>
      <c r="G7" s="23" t="s">
        <v>92</v>
      </c>
    </row>
    <row r="8" spans="2:17" ht="15" customHeight="1" x14ac:dyDescent="0.2">
      <c r="B8" s="1" t="s">
        <v>53</v>
      </c>
      <c r="F8" s="32" t="e">
        <f>C_Average_biocide_release_over_the_lifetime_of_the_paint_C</f>
        <v>#DIV/0!</v>
      </c>
      <c r="G8" s="23" t="s">
        <v>92</v>
      </c>
    </row>
    <row r="9" spans="2:17" ht="15" customHeight="1" x14ac:dyDescent="0.2">
      <c r="B9" s="1" t="s">
        <v>51</v>
      </c>
      <c r="F9" s="35">
        <f>IF(ISBLANK(C_Average_biocide_release_over_the_lifetime_of_the_paint_M),1,0)</f>
        <v>0</v>
      </c>
      <c r="G9" s="23"/>
    </row>
    <row r="10" spans="2:17" ht="15" customHeight="1" x14ac:dyDescent="0.2">
      <c r="B10" s="1" t="s">
        <v>50</v>
      </c>
      <c r="F10" s="32">
        <f>IF((F9&lt;1),C_Average_biocide_release_over_the_lifetime_of_the_paint_M,C_Average_biocide_release_over_the_lifetime_of_the_paint_C)</f>
        <v>2.5</v>
      </c>
      <c r="G10" s="23" t="s">
        <v>92</v>
      </c>
    </row>
    <row r="11" spans="2:17" ht="15" customHeight="1" x14ac:dyDescent="0.2">
      <c r="B11" s="1" t="s">
        <v>48</v>
      </c>
      <c r="F11" s="32">
        <f>F10/F6</f>
        <v>1</v>
      </c>
      <c r="G11" s="1" t="s">
        <v>2</v>
      </c>
    </row>
    <row r="12" spans="2:17" ht="15" customHeight="1" x14ac:dyDescent="0.2">
      <c r="F12" s="32"/>
    </row>
    <row r="13" spans="2:17" ht="15" customHeight="1" thickBot="1" x14ac:dyDescent="0.35">
      <c r="B13" s="156" t="s">
        <v>65</v>
      </c>
      <c r="C13" s="156"/>
      <c r="D13" s="156"/>
      <c r="E13" s="156"/>
      <c r="F13" s="156"/>
      <c r="G13" s="156"/>
    </row>
    <row r="14" spans="2:17" ht="15" customHeight="1" thickTop="1" x14ac:dyDescent="0.2"/>
    <row r="15" spans="2:17" ht="15" customHeight="1" x14ac:dyDescent="0.2">
      <c r="B15" s="1" t="s">
        <v>72</v>
      </c>
      <c r="F15" s="121">
        <v>0.9</v>
      </c>
    </row>
    <row r="16" spans="2:17" ht="15" customHeight="1" x14ac:dyDescent="0.2">
      <c r="B16" s="1" t="s">
        <v>67</v>
      </c>
      <c r="F16" s="32">
        <f>Application_Factor</f>
        <v>0.9</v>
      </c>
    </row>
    <row r="17" spans="2:21" ht="15" customHeight="1" x14ac:dyDescent="0.2">
      <c r="B17" s="1" t="s">
        <v>48</v>
      </c>
      <c r="F17" s="32">
        <f>F16/F15</f>
        <v>1</v>
      </c>
      <c r="G17" s="46"/>
    </row>
    <row r="18" spans="2:21" ht="15" customHeight="1" x14ac:dyDescent="0.2"/>
    <row r="19" spans="2:21" ht="15" x14ac:dyDescent="0.2">
      <c r="B19" s="152" t="s">
        <v>182</v>
      </c>
      <c r="C19" s="152"/>
      <c r="D19" s="152"/>
      <c r="E19" s="152"/>
      <c r="F19" s="152"/>
      <c r="G19" s="152"/>
      <c r="H19" s="152"/>
      <c r="I19" s="152"/>
      <c r="J19" s="152"/>
      <c r="K19" s="152"/>
      <c r="L19" s="152"/>
      <c r="M19" s="152"/>
      <c r="N19" s="152"/>
      <c r="O19" s="152"/>
      <c r="P19" s="152"/>
      <c r="Q19" s="152"/>
      <c r="R19" s="152"/>
      <c r="S19" s="152"/>
      <c r="T19" s="152"/>
      <c r="U19" s="152"/>
    </row>
    <row r="20" spans="2:21" ht="95.1" customHeight="1" x14ac:dyDescent="0.2">
      <c r="B20" s="87" t="s">
        <v>8</v>
      </c>
      <c r="C20" s="75" t="s">
        <v>109</v>
      </c>
      <c r="D20" s="87" t="s">
        <v>10</v>
      </c>
      <c r="E20" s="7" t="s">
        <v>181</v>
      </c>
      <c r="F20" s="8" t="s">
        <v>140</v>
      </c>
      <c r="G20" s="8" t="s">
        <v>141</v>
      </c>
      <c r="H20" s="8" t="s">
        <v>110</v>
      </c>
      <c r="I20" s="8" t="s">
        <v>142</v>
      </c>
      <c r="J20" s="8" t="s">
        <v>100</v>
      </c>
      <c r="K20" s="8" t="s">
        <v>143</v>
      </c>
      <c r="L20" s="8" t="s">
        <v>101</v>
      </c>
      <c r="M20" s="8" t="s">
        <v>144</v>
      </c>
      <c r="N20" s="7" t="s">
        <v>105</v>
      </c>
      <c r="O20" s="7" t="s">
        <v>104</v>
      </c>
      <c r="P20" s="7" t="s">
        <v>103</v>
      </c>
      <c r="Q20" s="7" t="s">
        <v>111</v>
      </c>
      <c r="R20" s="7" t="s">
        <v>58</v>
      </c>
      <c r="S20" s="7" t="s">
        <v>59</v>
      </c>
      <c r="T20" s="7" t="s">
        <v>60</v>
      </c>
      <c r="U20" s="7" t="s">
        <v>61</v>
      </c>
    </row>
    <row r="21" spans="2:21" ht="14.25" customHeight="1" x14ac:dyDescent="0.2">
      <c r="B21" s="78" t="s">
        <v>196</v>
      </c>
      <c r="C21" s="89" t="s">
        <v>11</v>
      </c>
      <c r="D21" s="78" t="str">
        <f t="shared" ref="D21:D37" si="0">C_Compound_Name</f>
        <v>Copper</v>
      </c>
      <c r="E21" s="49">
        <v>4180</v>
      </c>
      <c r="F21" s="129">
        <v>9.2267515277862593</v>
      </c>
      <c r="G21" s="129">
        <v>279.07232498168901</v>
      </c>
      <c r="H21" s="129">
        <v>1.35991134053863E-3</v>
      </c>
      <c r="I21" s="129">
        <v>4.1131878801388702E-2</v>
      </c>
      <c r="J21" s="124">
        <f t="shared" ref="J21:J37" si="1">((($E21/$O$6)*$F21)*C_Leaching_Conversion_Factor*Application_Conversion_Factor)+C_Background_SW_Freshwater</f>
        <v>13.442808269103116</v>
      </c>
      <c r="K21" s="124">
        <f t="shared" ref="K21:K37" si="2">((($E21/$O$6)*$G21)*C_Leaching_Conversion_Factor*Application_Conversion_Factor)+C_Background_Sed_Freshwater</f>
        <v>400.97469655487299</v>
      </c>
      <c r="L21" s="124">
        <f t="shared" ref="L21:L37" si="3">((($E21/$O$6)*$H21)*C_Leaching_Conversion_Factor*Application_Conversion_Factor)+C_Background_SW_Freshwater</f>
        <v>0.88185160566887666</v>
      </c>
      <c r="M21" s="124">
        <f t="shared" ref="M21:M37" si="4">((($E21/$O$6)*$I21)*C_Leaching_Conversion_Factor*Application_Conversion_Factor)+C_Background_Sed_Freshwater</f>
        <v>21.056003665599285</v>
      </c>
      <c r="N21" s="157">
        <f>C_PNEC_Aquatic_Inside</f>
        <v>7.8</v>
      </c>
      <c r="O21" s="157">
        <f>C_PNEC_Sediment_Inside</f>
        <v>87</v>
      </c>
      <c r="P21" s="157">
        <f>C_PNEC_Aquatic_Surrounding</f>
        <v>7.8</v>
      </c>
      <c r="Q21" s="157">
        <f>C_PNEC_Sediment_Surrounding</f>
        <v>87</v>
      </c>
      <c r="R21" s="66">
        <f t="shared" ref="R21:R37" si="5">$J21/C_PNEC_Aquatic_Inside</f>
        <v>1.7234369575773225</v>
      </c>
      <c r="S21" s="66">
        <f t="shared" ref="S21:S37" si="6">$K21/C_PNEC_Sediment_Inside</f>
        <v>4.6089045581019885</v>
      </c>
      <c r="T21" s="66">
        <f t="shared" ref="T21:T37" si="7">$L21/C_PNEC_Aquatic_Surrounding</f>
        <v>0.1130578981626765</v>
      </c>
      <c r="U21" s="66">
        <f t="shared" ref="U21:U37" si="8">$M21/C_PNEC_Sediment_Surrounding</f>
        <v>0.24202303063907224</v>
      </c>
    </row>
    <row r="22" spans="2:21" ht="14.25" customHeight="1" x14ac:dyDescent="0.2">
      <c r="B22" s="78" t="s">
        <v>197</v>
      </c>
      <c r="C22" s="89" t="s">
        <v>11</v>
      </c>
      <c r="D22" s="78" t="str">
        <f t="shared" si="0"/>
        <v>Copper</v>
      </c>
      <c r="E22" s="49">
        <v>2888</v>
      </c>
      <c r="F22" s="129">
        <v>3.9633628565072998</v>
      </c>
      <c r="G22" s="129">
        <v>119.875874710083</v>
      </c>
      <c r="H22" s="129">
        <v>1.09098073227109E-3</v>
      </c>
      <c r="I22" s="129">
        <v>3.2997803469556698E-2</v>
      </c>
      <c r="J22" s="124">
        <f t="shared" si="1"/>
        <v>4.6084012799977465</v>
      </c>
      <c r="K22" s="124">
        <f t="shared" si="2"/>
        <v>133.7692267631009</v>
      </c>
      <c r="L22" s="124">
        <f t="shared" si="3"/>
        <v>0.88102630369863155</v>
      </c>
      <c r="M22" s="124">
        <f t="shared" si="4"/>
        <v>21.031041581895792</v>
      </c>
      <c r="N22" s="157"/>
      <c r="O22" s="157"/>
      <c r="P22" s="157"/>
      <c r="Q22" s="157"/>
      <c r="R22" s="66">
        <f t="shared" si="5"/>
        <v>0.59082067692278806</v>
      </c>
      <c r="S22" s="66">
        <f t="shared" si="6"/>
        <v>1.5375773191161024</v>
      </c>
      <c r="T22" s="66">
        <f t="shared" si="7"/>
        <v>0.11295209021777328</v>
      </c>
      <c r="U22" s="66">
        <f t="shared" si="8"/>
        <v>0.24173611013673324</v>
      </c>
    </row>
    <row r="23" spans="2:21" ht="14.25" customHeight="1" x14ac:dyDescent="0.2">
      <c r="B23" s="78" t="s">
        <v>198</v>
      </c>
      <c r="C23" s="89" t="s">
        <v>11</v>
      </c>
      <c r="D23" s="78" t="str">
        <f t="shared" si="0"/>
        <v>Copper</v>
      </c>
      <c r="E23" s="49">
        <v>9904</v>
      </c>
      <c r="F23" s="129">
        <v>2.9608658051490799</v>
      </c>
      <c r="G23" s="129">
        <v>89.554348125457807</v>
      </c>
      <c r="H23" s="129">
        <v>7.6629164279969097E-4</v>
      </c>
      <c r="I23" s="129">
        <v>2.31772572441938E-2</v>
      </c>
      <c r="J23" s="124">
        <f t="shared" si="1"/>
        <v>10.431926688663353</v>
      </c>
      <c r="K23" s="124">
        <f t="shared" si="2"/>
        <v>309.90757779626523</v>
      </c>
      <c r="L23" s="124">
        <f t="shared" si="3"/>
        <v>0.88247210176882351</v>
      </c>
      <c r="M23" s="124">
        <f t="shared" si="4"/>
        <v>21.074771190796906</v>
      </c>
      <c r="N23" s="157"/>
      <c r="O23" s="157"/>
      <c r="P23" s="157"/>
      <c r="Q23" s="157"/>
      <c r="R23" s="66">
        <f t="shared" si="5"/>
        <v>1.3374264985465838</v>
      </c>
      <c r="S23" s="66">
        <f t="shared" si="6"/>
        <v>3.5621560666237384</v>
      </c>
      <c r="T23" s="66">
        <f t="shared" si="7"/>
        <v>0.11313744894472097</v>
      </c>
      <c r="U23" s="66">
        <f t="shared" si="8"/>
        <v>0.24223874931950465</v>
      </c>
    </row>
    <row r="24" spans="2:21" ht="14.25" customHeight="1" x14ac:dyDescent="0.2">
      <c r="B24" s="78" t="s">
        <v>199</v>
      </c>
      <c r="C24" s="89" t="s">
        <v>11</v>
      </c>
      <c r="D24" s="78" t="str">
        <f t="shared" si="0"/>
        <v>Copper</v>
      </c>
      <c r="E24" s="49">
        <v>31839</v>
      </c>
      <c r="F24" s="129">
        <v>2.4587636062502898</v>
      </c>
      <c r="G24" s="129">
        <v>74.367765216827394</v>
      </c>
      <c r="H24" s="129">
        <v>4.9856434083864101E-4</v>
      </c>
      <c r="I24" s="129">
        <v>1.50795771741658E-2</v>
      </c>
      <c r="J24" s="124">
        <f t="shared" si="1"/>
        <v>26.379861387427681</v>
      </c>
      <c r="K24" s="124">
        <f t="shared" si="2"/>
        <v>792.26881978454969</v>
      </c>
      <c r="L24" s="124">
        <f t="shared" si="3"/>
        <v>0.8851706156508018</v>
      </c>
      <c r="M24" s="124">
        <f t="shared" si="4"/>
        <v>21.156390442230705</v>
      </c>
      <c r="N24" s="157"/>
      <c r="O24" s="157"/>
      <c r="P24" s="157"/>
      <c r="Q24" s="157"/>
      <c r="R24" s="66">
        <f t="shared" si="5"/>
        <v>3.382033511208677</v>
      </c>
      <c r="S24" s="66">
        <f t="shared" si="6"/>
        <v>9.1065381584430991</v>
      </c>
      <c r="T24" s="66">
        <f t="shared" si="7"/>
        <v>0.11348341226292331</v>
      </c>
      <c r="U24" s="66">
        <f t="shared" si="8"/>
        <v>0.24317690163483568</v>
      </c>
    </row>
    <row r="25" spans="2:21" ht="14.25" customHeight="1" x14ac:dyDescent="0.2">
      <c r="B25" s="78" t="s">
        <v>200</v>
      </c>
      <c r="C25" s="89" t="s">
        <v>11</v>
      </c>
      <c r="D25" s="78" t="str">
        <f t="shared" si="0"/>
        <v>Copper</v>
      </c>
      <c r="E25" s="49">
        <v>12360</v>
      </c>
      <c r="F25" s="129">
        <v>0.89724149718880597</v>
      </c>
      <c r="G25" s="129">
        <v>27.137966580390898</v>
      </c>
      <c r="H25" s="129">
        <v>1.71272064436167E-4</v>
      </c>
      <c r="I25" s="129">
        <v>5.1802949106422701E-3</v>
      </c>
      <c r="J25" s="124">
        <f t="shared" si="1"/>
        <v>4.4923468746754533</v>
      </c>
      <c r="K25" s="124">
        <f t="shared" si="2"/>
        <v>130.25904460378877</v>
      </c>
      <c r="L25" s="124">
        <f t="shared" si="3"/>
        <v>0.8806895513734303</v>
      </c>
      <c r="M25" s="124">
        <f t="shared" si="4"/>
        <v>21.020856171040894</v>
      </c>
      <c r="N25" s="157"/>
      <c r="O25" s="157"/>
      <c r="P25" s="157"/>
      <c r="Q25" s="157"/>
      <c r="R25" s="66">
        <f t="shared" si="5"/>
        <v>0.57594190700967351</v>
      </c>
      <c r="S25" s="66">
        <f t="shared" si="6"/>
        <v>1.4972303977446983</v>
      </c>
      <c r="T25" s="66">
        <f t="shared" si="7"/>
        <v>0.11290891684274748</v>
      </c>
      <c r="U25" s="66">
        <f t="shared" si="8"/>
        <v>0.24161903644874591</v>
      </c>
    </row>
    <row r="26" spans="2:21" ht="14.25" customHeight="1" x14ac:dyDescent="0.2">
      <c r="B26" s="78" t="s">
        <v>201</v>
      </c>
      <c r="C26" s="89" t="s">
        <v>11</v>
      </c>
      <c r="D26" s="78" t="str">
        <f t="shared" si="0"/>
        <v>Copper</v>
      </c>
      <c r="E26" s="49">
        <v>12311</v>
      </c>
      <c r="F26" s="129">
        <v>0.58760218344628801</v>
      </c>
      <c r="G26" s="129">
        <v>17.772615792751299</v>
      </c>
      <c r="H26" s="129">
        <v>3.6085457768648602E-4</v>
      </c>
      <c r="I26" s="129">
        <v>1.09144076886221E-2</v>
      </c>
      <c r="J26" s="124">
        <f t="shared" si="1"/>
        <v>3.2363421760284208</v>
      </c>
      <c r="K26" s="124">
        <f t="shared" si="2"/>
        <v>92.269926066632337</v>
      </c>
      <c r="L26" s="124">
        <f t="shared" si="3"/>
        <v>0.88144706211918511</v>
      </c>
      <c r="M26" s="124">
        <f t="shared" si="4"/>
        <v>21.043767841385872</v>
      </c>
      <c r="N26" s="157"/>
      <c r="O26" s="157"/>
      <c r="P26" s="157"/>
      <c r="Q26" s="157"/>
      <c r="R26" s="66">
        <f t="shared" si="5"/>
        <v>0.41491566359338727</v>
      </c>
      <c r="S26" s="66">
        <f t="shared" si="6"/>
        <v>1.0605738628348544</v>
      </c>
      <c r="T26" s="66">
        <f t="shared" si="7"/>
        <v>0.11300603360502373</v>
      </c>
      <c r="U26" s="66">
        <f t="shared" si="8"/>
        <v>0.24188238898144682</v>
      </c>
    </row>
    <row r="27" spans="2:21" ht="14.25" customHeight="1" x14ac:dyDescent="0.2">
      <c r="B27" s="78" t="s">
        <v>202</v>
      </c>
      <c r="C27" s="89" t="s">
        <v>11</v>
      </c>
      <c r="D27" s="78" t="str">
        <f t="shared" si="0"/>
        <v>Copper</v>
      </c>
      <c r="E27" s="49">
        <v>1377</v>
      </c>
      <c r="F27" s="129">
        <v>8.5162917339801805</v>
      </c>
      <c r="G27" s="129">
        <v>257.583763885498</v>
      </c>
      <c r="H27" s="129">
        <v>5.39839706179919E-3</v>
      </c>
      <c r="I27" s="129">
        <v>0.16327992007136299</v>
      </c>
      <c r="J27" s="124">
        <f t="shared" si="1"/>
        <v>4.6998481165116317</v>
      </c>
      <c r="K27" s="124">
        <f t="shared" si="2"/>
        <v>136.53512797079179</v>
      </c>
      <c r="L27" s="124">
        <f t="shared" si="3"/>
        <v>0.88242136571794705</v>
      </c>
      <c r="M27" s="124">
        <f t="shared" si="4"/>
        <v>21.073236628644388</v>
      </c>
      <c r="N27" s="157"/>
      <c r="O27" s="157"/>
      <c r="P27" s="157"/>
      <c r="Q27" s="157"/>
      <c r="R27" s="66">
        <f t="shared" si="5"/>
        <v>0.60254463032200412</v>
      </c>
      <c r="S27" s="66">
        <f t="shared" si="6"/>
        <v>1.5693692870205953</v>
      </c>
      <c r="T27" s="66">
        <f t="shared" si="7"/>
        <v>0.11313094432281373</v>
      </c>
      <c r="U27" s="66">
        <f t="shared" si="8"/>
        <v>0.24222111067407343</v>
      </c>
    </row>
    <row r="28" spans="2:21" ht="14.25" customHeight="1" x14ac:dyDescent="0.2">
      <c r="B28" s="78" t="s">
        <v>203</v>
      </c>
      <c r="C28" s="89" t="s">
        <v>11</v>
      </c>
      <c r="D28" s="78" t="str">
        <f t="shared" si="0"/>
        <v>Copper</v>
      </c>
      <c r="E28" s="49">
        <v>1725</v>
      </c>
      <c r="F28" s="129">
        <v>21.021460473537399</v>
      </c>
      <c r="G28" s="129">
        <v>635.81509864807094</v>
      </c>
      <c r="H28" s="129">
        <v>7.3329005213842403E-3</v>
      </c>
      <c r="I28" s="129">
        <v>0.22179091125959499</v>
      </c>
      <c r="J28" s="124">
        <f t="shared" si="1"/>
        <v>12.691732676499029</v>
      </c>
      <c r="K28" s="124">
        <f t="shared" si="2"/>
        <v>378.25766943580533</v>
      </c>
      <c r="L28" s="124">
        <f t="shared" si="3"/>
        <v>0.88412027798025661</v>
      </c>
      <c r="M28" s="124">
        <f t="shared" si="4"/>
        <v>21.12462192896508</v>
      </c>
      <c r="N28" s="157"/>
      <c r="O28" s="157"/>
      <c r="P28" s="157"/>
      <c r="Q28" s="157"/>
      <c r="R28" s="66">
        <f t="shared" si="5"/>
        <v>1.627145214935773</v>
      </c>
      <c r="S28" s="66">
        <f t="shared" si="6"/>
        <v>4.3477893038598312</v>
      </c>
      <c r="T28" s="66">
        <f t="shared" si="7"/>
        <v>0.11334875358721239</v>
      </c>
      <c r="U28" s="66">
        <f t="shared" si="8"/>
        <v>0.24281174630994345</v>
      </c>
    </row>
    <row r="29" spans="2:21" ht="14.25" customHeight="1" x14ac:dyDescent="0.2">
      <c r="B29" s="78" t="s">
        <v>204</v>
      </c>
      <c r="C29" s="89" t="s">
        <v>11</v>
      </c>
      <c r="D29" s="78" t="str">
        <f t="shared" si="0"/>
        <v>Copper</v>
      </c>
      <c r="E29" s="49">
        <v>9402</v>
      </c>
      <c r="F29" s="129">
        <v>0.996569299697876</v>
      </c>
      <c r="G29" s="129">
        <v>30.1422354698181</v>
      </c>
      <c r="H29" s="129">
        <v>1.8245632289766E-3</v>
      </c>
      <c r="I29" s="129">
        <v>5.51857400156162E-2</v>
      </c>
      <c r="J29" s="124">
        <f t="shared" si="1"/>
        <v>3.9320340572506285</v>
      </c>
      <c r="K29" s="124">
        <f t="shared" si="2"/>
        <v>113.31182341603575</v>
      </c>
      <c r="L29" s="124">
        <f t="shared" si="3"/>
        <v>0.88558779917877462</v>
      </c>
      <c r="M29" s="124">
        <f t="shared" si="4"/>
        <v>21.16900857577421</v>
      </c>
      <c r="N29" s="157"/>
      <c r="O29" s="157"/>
      <c r="P29" s="157"/>
      <c r="Q29" s="157"/>
      <c r="R29" s="66">
        <f t="shared" si="5"/>
        <v>0.50410693041674726</v>
      </c>
      <c r="S29" s="66">
        <f t="shared" si="6"/>
        <v>1.3024347519084569</v>
      </c>
      <c r="T29" s="66">
        <f t="shared" si="7"/>
        <v>0.11353689733061213</v>
      </c>
      <c r="U29" s="66">
        <f t="shared" si="8"/>
        <v>0.24332193765257712</v>
      </c>
    </row>
    <row r="30" spans="2:21" ht="14.25" customHeight="1" x14ac:dyDescent="0.2">
      <c r="B30" s="78" t="s">
        <v>205</v>
      </c>
      <c r="C30" s="89" t="s">
        <v>11</v>
      </c>
      <c r="D30" s="78" t="str">
        <f t="shared" si="0"/>
        <v>Copper</v>
      </c>
      <c r="E30" s="49">
        <v>2818</v>
      </c>
      <c r="F30" s="129">
        <v>9.4553791731596004E-2</v>
      </c>
      <c r="G30" s="129">
        <v>2.8598740082979202</v>
      </c>
      <c r="H30" s="129">
        <v>9.1487574960998002E-5</v>
      </c>
      <c r="I30" s="129">
        <v>2.7671331883591401E-3</v>
      </c>
      <c r="J30" s="124">
        <f t="shared" si="1"/>
        <v>0.96679237299662457</v>
      </c>
      <c r="K30" s="124">
        <f t="shared" si="2"/>
        <v>23.625122135304085</v>
      </c>
      <c r="L30" s="124">
        <f t="shared" si="3"/>
        <v>0.88008397784568082</v>
      </c>
      <c r="M30" s="124">
        <f t="shared" si="4"/>
        <v>21.002539993916873</v>
      </c>
      <c r="N30" s="157"/>
      <c r="O30" s="157"/>
      <c r="P30" s="157"/>
      <c r="Q30" s="157"/>
      <c r="R30" s="66">
        <f t="shared" si="5"/>
        <v>0.12394774012777239</v>
      </c>
      <c r="S30" s="66">
        <f t="shared" si="6"/>
        <v>0.27155312799200099</v>
      </c>
      <c r="T30" s="66">
        <f t="shared" si="7"/>
        <v>0.11283127921098472</v>
      </c>
      <c r="U30" s="66">
        <f t="shared" si="8"/>
        <v>0.24140850567720543</v>
      </c>
    </row>
    <row r="31" spans="2:21" ht="14.25" customHeight="1" x14ac:dyDescent="0.2">
      <c r="B31" s="78" t="s">
        <v>206</v>
      </c>
      <c r="C31" s="89" t="s">
        <v>11</v>
      </c>
      <c r="D31" s="78" t="str">
        <f t="shared" si="0"/>
        <v>Copper</v>
      </c>
      <c r="E31" s="49">
        <v>7529</v>
      </c>
      <c r="F31" s="129">
        <v>9.4404815542697893</v>
      </c>
      <c r="G31" s="129">
        <v>285.536808433533</v>
      </c>
      <c r="H31" s="129">
        <v>2.8392434780379499E-3</v>
      </c>
      <c r="I31" s="129">
        <v>8.5875759008535599E-2</v>
      </c>
      <c r="J31" s="124">
        <f t="shared" si="1"/>
        <v>24.032242873647309</v>
      </c>
      <c r="K31" s="124">
        <f t="shared" si="2"/>
        <v>721.26274615507168</v>
      </c>
      <c r="L31" s="124">
        <f t="shared" si="3"/>
        <v>0.88696308278376146</v>
      </c>
      <c r="M31" s="124">
        <f t="shared" si="4"/>
        <v>21.210605403770444</v>
      </c>
      <c r="N31" s="157"/>
      <c r="O31" s="157"/>
      <c r="P31" s="157"/>
      <c r="Q31" s="157"/>
      <c r="R31" s="66">
        <f t="shared" si="5"/>
        <v>3.0810567786727319</v>
      </c>
      <c r="S31" s="66">
        <f t="shared" si="6"/>
        <v>8.2903763925870315</v>
      </c>
      <c r="T31" s="66">
        <f t="shared" si="7"/>
        <v>0.11371321574150788</v>
      </c>
      <c r="U31" s="66">
        <f t="shared" si="8"/>
        <v>0.24380006211230396</v>
      </c>
    </row>
    <row r="32" spans="2:21" ht="14.25" customHeight="1" x14ac:dyDescent="0.2">
      <c r="B32" s="78" t="s">
        <v>207</v>
      </c>
      <c r="C32" s="89" t="s">
        <v>11</v>
      </c>
      <c r="D32" s="78" t="str">
        <f t="shared" si="0"/>
        <v>Copper</v>
      </c>
      <c r="E32" s="49">
        <v>2825</v>
      </c>
      <c r="F32" s="129">
        <v>16.293048036098501</v>
      </c>
      <c r="G32" s="129">
        <v>492.79953910827601</v>
      </c>
      <c r="H32" s="129">
        <v>8.7874331808901196E-3</v>
      </c>
      <c r="I32" s="129">
        <v>0.26578470655484099</v>
      </c>
      <c r="J32" s="124">
        <f t="shared" si="1"/>
        <v>15.872788502273051</v>
      </c>
      <c r="K32" s="124">
        <f t="shared" si="2"/>
        <v>474.47188859312041</v>
      </c>
      <c r="L32" s="124">
        <f t="shared" si="3"/>
        <v>0.8880861559400699</v>
      </c>
      <c r="M32" s="124">
        <f t="shared" si="4"/>
        <v>21.244573874924242</v>
      </c>
      <c r="N32" s="157"/>
      <c r="O32" s="157"/>
      <c r="P32" s="157"/>
      <c r="Q32" s="157"/>
      <c r="R32" s="66">
        <f t="shared" si="5"/>
        <v>2.0349728849068014</v>
      </c>
      <c r="S32" s="66">
        <f t="shared" si="6"/>
        <v>5.4536998688864413</v>
      </c>
      <c r="T32" s="66">
        <f t="shared" si="7"/>
        <v>0.11385719947949614</v>
      </c>
      <c r="U32" s="66">
        <f t="shared" si="8"/>
        <v>0.24419050430947406</v>
      </c>
    </row>
    <row r="33" spans="1:21" ht="14.25" customHeight="1" x14ac:dyDescent="0.2">
      <c r="B33" s="78" t="s">
        <v>208</v>
      </c>
      <c r="C33" s="89" t="s">
        <v>11</v>
      </c>
      <c r="D33" s="78" t="str">
        <f t="shared" si="0"/>
        <v>Copper</v>
      </c>
      <c r="E33" s="49">
        <v>726</v>
      </c>
      <c r="F33" s="129">
        <v>9.2245579779148095</v>
      </c>
      <c r="G33" s="129">
        <v>279.005984611511</v>
      </c>
      <c r="H33" s="129">
        <v>4.1844890973079104E-3</v>
      </c>
      <c r="I33" s="129">
        <v>0.12656405857821801</v>
      </c>
      <c r="J33" s="124">
        <f t="shared" si="1"/>
        <v>3.0614427009661731</v>
      </c>
      <c r="K33" s="124">
        <f t="shared" si="2"/>
        <v>86.979916882070668</v>
      </c>
      <c r="L33" s="124">
        <f t="shared" si="3"/>
        <v>0.88098955670509627</v>
      </c>
      <c r="M33" s="124">
        <f t="shared" si="4"/>
        <v>21.029930132419473</v>
      </c>
      <c r="N33" s="157"/>
      <c r="O33" s="157"/>
      <c r="P33" s="157"/>
      <c r="Q33" s="157"/>
      <c r="R33" s="66">
        <f t="shared" si="5"/>
        <v>0.3924926539700222</v>
      </c>
      <c r="S33" s="66">
        <f t="shared" si="6"/>
        <v>0.99976915956403067</v>
      </c>
      <c r="T33" s="66">
        <f t="shared" si="7"/>
        <v>0.11294737906475594</v>
      </c>
      <c r="U33" s="66">
        <f t="shared" si="8"/>
        <v>0.24172333485539624</v>
      </c>
    </row>
    <row r="34" spans="1:21" ht="14.25" customHeight="1" x14ac:dyDescent="0.2">
      <c r="B34" s="78" t="s">
        <v>209</v>
      </c>
      <c r="C34" s="89" t="s">
        <v>11</v>
      </c>
      <c r="D34" s="78" t="str">
        <f t="shared" si="0"/>
        <v>Copper</v>
      </c>
      <c r="E34" s="49">
        <v>4138</v>
      </c>
      <c r="F34" s="129">
        <v>1.82851168811321</v>
      </c>
      <c r="G34" s="129">
        <v>55.3051649570465</v>
      </c>
      <c r="H34" s="129">
        <v>3.2554119232465299E-4</v>
      </c>
      <c r="I34" s="129">
        <v>9.8463190183433E-3</v>
      </c>
      <c r="J34" s="124">
        <f t="shared" si="1"/>
        <v>3.3446193372679032</v>
      </c>
      <c r="K34" s="124">
        <f t="shared" si="2"/>
        <v>95.544877065882233</v>
      </c>
      <c r="L34" s="124">
        <f t="shared" si="3"/>
        <v>0.88043879135304215</v>
      </c>
      <c r="M34" s="124">
        <f t="shared" si="4"/>
        <v>21.013271683419514</v>
      </c>
      <c r="N34" s="157"/>
      <c r="O34" s="157"/>
      <c r="P34" s="157"/>
      <c r="Q34" s="157"/>
      <c r="R34" s="66">
        <f t="shared" si="5"/>
        <v>0.42879735093178245</v>
      </c>
      <c r="S34" s="66">
        <f t="shared" si="6"/>
        <v>1.0982169777687614</v>
      </c>
      <c r="T34" s="66">
        <f t="shared" si="7"/>
        <v>0.11287676812218489</v>
      </c>
      <c r="U34" s="66">
        <f t="shared" si="8"/>
        <v>0.24153185843010935</v>
      </c>
    </row>
    <row r="35" spans="1:21" ht="14.25" customHeight="1" x14ac:dyDescent="0.2">
      <c r="B35" s="78" t="s">
        <v>210</v>
      </c>
      <c r="C35" s="89" t="s">
        <v>11</v>
      </c>
      <c r="D35" s="78" t="str">
        <f t="shared" si="0"/>
        <v>Copper</v>
      </c>
      <c r="E35" s="49">
        <v>1268</v>
      </c>
      <c r="F35" s="129">
        <v>19.838324604034401</v>
      </c>
      <c r="G35" s="129">
        <v>600.02997261047403</v>
      </c>
      <c r="H35" s="129">
        <v>1.35264115733124E-3</v>
      </c>
      <c r="I35" s="129">
        <v>4.0911984674063498E-2</v>
      </c>
      <c r="J35" s="124">
        <f t="shared" si="1"/>
        <v>9.0738096410148597</v>
      </c>
      <c r="K35" s="124">
        <f t="shared" si="2"/>
        <v>268.82996914334888</v>
      </c>
      <c r="L35" s="124">
        <f t="shared" si="3"/>
        <v>0.88055868045195307</v>
      </c>
      <c r="M35" s="124">
        <f t="shared" si="4"/>
        <v>21.016897849044533</v>
      </c>
      <c r="N35" s="157"/>
      <c r="O35" s="157"/>
      <c r="P35" s="157"/>
      <c r="Q35" s="157"/>
      <c r="R35" s="66">
        <f t="shared" si="5"/>
        <v>1.1633089283352385</v>
      </c>
      <c r="S35" s="66">
        <f t="shared" si="6"/>
        <v>3.0899996453258494</v>
      </c>
      <c r="T35" s="66">
        <f t="shared" si="7"/>
        <v>0.11289213851948117</v>
      </c>
      <c r="U35" s="66">
        <f t="shared" si="8"/>
        <v>0.24157353849476473</v>
      </c>
    </row>
    <row r="36" spans="1:21" ht="14.25" customHeight="1" x14ac:dyDescent="0.2">
      <c r="B36" s="78" t="s">
        <v>211</v>
      </c>
      <c r="C36" s="89" t="s">
        <v>11</v>
      </c>
      <c r="D36" s="78" t="str">
        <f t="shared" si="0"/>
        <v>Copper</v>
      </c>
      <c r="E36" s="49">
        <v>5293</v>
      </c>
      <c r="F36" s="129">
        <v>14.888082258701299</v>
      </c>
      <c r="G36" s="129">
        <v>450.304941482544</v>
      </c>
      <c r="H36" s="129">
        <v>1.0601266353752201E-3</v>
      </c>
      <c r="I36" s="129">
        <v>3.2064590214717303E-2</v>
      </c>
      <c r="J36" s="124">
        <f t="shared" si="1"/>
        <v>26.548605666223445</v>
      </c>
      <c r="K36" s="124">
        <f t="shared" si="2"/>
        <v>797.37265643879653</v>
      </c>
      <c r="L36" s="124">
        <f t="shared" si="3"/>
        <v>0.88182776882118596</v>
      </c>
      <c r="M36" s="124">
        <f t="shared" si="4"/>
        <v>21.055282695767588</v>
      </c>
      <c r="N36" s="157"/>
      <c r="O36" s="157"/>
      <c r="P36" s="157"/>
      <c r="Q36" s="157"/>
      <c r="R36" s="66">
        <f t="shared" si="5"/>
        <v>3.4036673931055699</v>
      </c>
      <c r="S36" s="66">
        <f t="shared" si="6"/>
        <v>9.1652029475723733</v>
      </c>
      <c r="T36" s="66">
        <f t="shared" si="7"/>
        <v>0.11305484215656231</v>
      </c>
      <c r="U36" s="66">
        <f t="shared" si="8"/>
        <v>0.2420147436295125</v>
      </c>
    </row>
    <row r="37" spans="1:21" ht="14.25" customHeight="1" x14ac:dyDescent="0.2">
      <c r="B37" s="78" t="s">
        <v>212</v>
      </c>
      <c r="C37" s="89" t="s">
        <v>11</v>
      </c>
      <c r="D37" s="78" t="str">
        <f t="shared" si="0"/>
        <v>Copper</v>
      </c>
      <c r="E37" s="49">
        <v>5285</v>
      </c>
      <c r="F37" s="129">
        <v>1.41578984752297</v>
      </c>
      <c r="G37" s="129">
        <v>42.821980118751497</v>
      </c>
      <c r="H37" s="129">
        <v>2.0156045152188999E-3</v>
      </c>
      <c r="I37" s="129">
        <v>6.0963974787671897E-2</v>
      </c>
      <c r="J37" s="124">
        <f t="shared" si="1"/>
        <v>3.3172799166641358</v>
      </c>
      <c r="K37" s="124">
        <f t="shared" si="2"/>
        <v>94.71796903179208</v>
      </c>
      <c r="L37" s="124">
        <f t="shared" si="3"/>
        <v>0.88346985989020588</v>
      </c>
      <c r="M37" s="124">
        <f t="shared" si="4"/>
        <v>21.104949383307115</v>
      </c>
      <c r="N37" s="157"/>
      <c r="O37" s="157"/>
      <c r="P37" s="157"/>
      <c r="Q37" s="157"/>
      <c r="R37" s="66">
        <f t="shared" si="5"/>
        <v>0.42529229700822258</v>
      </c>
      <c r="S37" s="66">
        <f t="shared" si="6"/>
        <v>1.0887122877217481</v>
      </c>
      <c r="T37" s="66">
        <f t="shared" si="7"/>
        <v>0.1132653666525905</v>
      </c>
      <c r="U37" s="66">
        <f t="shared" si="8"/>
        <v>0.24258562509548409</v>
      </c>
    </row>
    <row r="38" spans="1:21" x14ac:dyDescent="0.2">
      <c r="B38" s="154" t="s">
        <v>161</v>
      </c>
      <c r="C38" s="154"/>
      <c r="D38" s="154"/>
      <c r="E38" s="128"/>
      <c r="F38" s="128"/>
      <c r="G38" s="128"/>
      <c r="H38" s="128"/>
      <c r="I38" s="128"/>
      <c r="J38" s="67">
        <f>MEDIAN($J$21:$J$37)</f>
        <v>4.6998481165116317</v>
      </c>
      <c r="K38" s="67">
        <f>MEDIAN($K$21:$K$37)</f>
        <v>136.53512797079179</v>
      </c>
      <c r="L38" s="67">
        <f>MEDIAN($L$21:$L$37)</f>
        <v>0.88185160566887666</v>
      </c>
      <c r="M38" s="67">
        <f>MEDIAN($M$21:$M$37)</f>
        <v>21.056003665599285</v>
      </c>
      <c r="N38" s="67"/>
      <c r="O38" s="67"/>
      <c r="P38" s="67"/>
      <c r="Q38" s="67"/>
      <c r="R38" s="67">
        <f>MEDIAN($R$21:$R$37)</f>
        <v>0.60254463032200412</v>
      </c>
      <c r="S38" s="67">
        <f>MEDIAN($S$21:$S$37)</f>
        <v>1.5693692870205953</v>
      </c>
      <c r="T38" s="67">
        <f>MEDIAN($T$21:$T$37)</f>
        <v>0.1130578981626765</v>
      </c>
      <c r="U38" s="67">
        <f>MEDIAN($U$21:$U$37)</f>
        <v>0.24202303063907224</v>
      </c>
    </row>
    <row r="39" spans="1:21" x14ac:dyDescent="0.2">
      <c r="B39" s="154" t="s">
        <v>160</v>
      </c>
      <c r="C39" s="154"/>
      <c r="D39" s="154"/>
      <c r="E39" s="123"/>
      <c r="F39" s="123"/>
      <c r="G39" s="123"/>
      <c r="H39" s="123"/>
      <c r="I39" s="123"/>
      <c r="J39" s="67">
        <f>AVERAGE($J$21:$J$37)</f>
        <v>10.007816619835916</v>
      </c>
      <c r="K39" s="67">
        <f>AVERAGE($K$21:$K$37)</f>
        <v>297.0799445786605</v>
      </c>
      <c r="L39" s="67">
        <f>AVERAGE($L$21:$L$37)</f>
        <v>0.88277673864398365</v>
      </c>
      <c r="M39" s="67">
        <f>AVERAGE($M$21:$M$37)</f>
        <v>21.083985237817814</v>
      </c>
      <c r="N39" s="67"/>
      <c r="O39" s="67"/>
      <c r="P39" s="67"/>
      <c r="Q39" s="67"/>
      <c r="R39" s="67">
        <f>AVERAGE($R$21:$R$37)</f>
        <v>1.2830534127994764</v>
      </c>
      <c r="S39" s="67">
        <f>AVERAGE($S$21:$S$37)</f>
        <v>3.4147120066512704</v>
      </c>
      <c r="T39" s="67">
        <f>AVERAGE($T$21:$T$37)</f>
        <v>0.11317650495435688</v>
      </c>
      <c r="U39" s="67">
        <f>AVERAGE($U$21:$U$37)</f>
        <v>0.24234465790595189</v>
      </c>
    </row>
    <row r="40" spans="1:21" x14ac:dyDescent="0.2">
      <c r="B40" s="154" t="s">
        <v>12</v>
      </c>
      <c r="C40" s="154"/>
      <c r="D40" s="154"/>
      <c r="E40" s="123"/>
      <c r="F40" s="123"/>
      <c r="G40" s="123"/>
      <c r="H40" s="123"/>
      <c r="I40" s="123"/>
      <c r="J40" s="67">
        <f>MAX($J$21:$J$37)</f>
        <v>26.548605666223445</v>
      </c>
      <c r="K40" s="67">
        <f>MAX($K$21:$K$37)</f>
        <v>797.37265643879653</v>
      </c>
      <c r="L40" s="67">
        <f>MAX($L$21:$L$37)</f>
        <v>0.8880861559400699</v>
      </c>
      <c r="M40" s="67">
        <f>MAX($M$21:$M$37)</f>
        <v>21.244573874924242</v>
      </c>
      <c r="N40" s="67"/>
      <c r="O40" s="67"/>
      <c r="P40" s="67"/>
      <c r="Q40" s="67"/>
      <c r="R40" s="67">
        <f>MAX($R$21:$R$37)</f>
        <v>3.4036673931055699</v>
      </c>
      <c r="S40" s="67">
        <f>MAX($S$21:$S$37)</f>
        <v>9.1652029475723733</v>
      </c>
      <c r="T40" s="67">
        <f>MAX($T$21:$T$37)</f>
        <v>0.11385719947949614</v>
      </c>
      <c r="U40" s="67">
        <f>MAX($U$21:$U$37)</f>
        <v>0.24419050430947406</v>
      </c>
    </row>
    <row r="41" spans="1:21" x14ac:dyDescent="0.2">
      <c r="B41" s="154" t="s">
        <v>13</v>
      </c>
      <c r="C41" s="154"/>
      <c r="D41" s="154"/>
      <c r="E41" s="123"/>
      <c r="F41" s="123"/>
      <c r="G41" s="123"/>
      <c r="H41" s="123"/>
      <c r="I41" s="123"/>
      <c r="J41" s="67">
        <f>MIN($J$21:$J$37)</f>
        <v>0.96679237299662457</v>
      </c>
      <c r="K41" s="67">
        <f>MIN($K$21:$K$37)</f>
        <v>23.625122135304085</v>
      </c>
      <c r="L41" s="67">
        <f>MIN($L$21:$L$37)</f>
        <v>0.88008397784568082</v>
      </c>
      <c r="M41" s="67">
        <f>MIN($M$21:$M$37)</f>
        <v>21.002539993916873</v>
      </c>
      <c r="N41" s="67"/>
      <c r="O41" s="67"/>
      <c r="P41" s="67"/>
      <c r="Q41" s="67"/>
      <c r="R41" s="67">
        <f>MIN($R$21:$R$37)</f>
        <v>0.12394774012777239</v>
      </c>
      <c r="S41" s="67">
        <f>MIN($S$21:$S$37)</f>
        <v>0.27155312799200099</v>
      </c>
      <c r="T41" s="67">
        <f>MIN($T$21:$T$37)</f>
        <v>0.11283127921098472</v>
      </c>
      <c r="U41" s="67">
        <f>MIN($U$21:$U$37)</f>
        <v>0.24140850567720543</v>
      </c>
    </row>
    <row r="42" spans="1:21" x14ac:dyDescent="0.2">
      <c r="A42" s="74"/>
      <c r="B42" s="12"/>
      <c r="C42" s="12"/>
      <c r="D42" s="123" t="s">
        <v>84</v>
      </c>
      <c r="E42" s="12"/>
      <c r="F42" s="12"/>
      <c r="G42" s="12"/>
      <c r="H42" s="12"/>
      <c r="I42" s="12"/>
      <c r="J42" s="67">
        <f>_xlfn.PERCENTILE.INC(J$21:J$37,0.9)</f>
        <v>24.971290279159458</v>
      </c>
      <c r="K42" s="67">
        <f>_xlfn.PERCENTILE.INC(K$21:K$37,0.9)</f>
        <v>749.66517560686293</v>
      </c>
      <c r="L42" s="67">
        <f>_xlfn.PERCENTILE.INC(L$21:L$37,0.9)</f>
        <v>0.88613791262076935</v>
      </c>
      <c r="M42" s="67">
        <f>_xlfn.PERCENTILE.INC(M$21:M$37,0.9)</f>
        <v>21.185647306972704</v>
      </c>
      <c r="N42" s="67"/>
      <c r="O42" s="67"/>
      <c r="P42" s="67"/>
      <c r="Q42" s="67"/>
      <c r="R42" s="67">
        <f>_xlfn.PERCENTILE.INC(R$21:R$37,0.9)</f>
        <v>3.2014474716871102</v>
      </c>
      <c r="S42" s="67">
        <f>_xlfn.PERCENTILE.INC(S$21:S$37,0.9)</f>
        <v>8.6168410989294593</v>
      </c>
      <c r="T42" s="67">
        <f>_xlfn.PERCENTILE.INC(T$21:T$37,0.9)</f>
        <v>0.11360742469497043</v>
      </c>
      <c r="U42" s="67">
        <f>_xlfn.PERCENTILE.INC(U$21:U$37,0.9)</f>
        <v>0.24351318743646785</v>
      </c>
    </row>
    <row r="43" spans="1:21" x14ac:dyDescent="0.2">
      <c r="B43" s="12"/>
      <c r="C43" s="12"/>
      <c r="D43" s="123" t="s">
        <v>85</v>
      </c>
      <c r="E43" s="12"/>
      <c r="F43" s="12"/>
      <c r="G43" s="12"/>
      <c r="H43" s="12"/>
      <c r="I43" s="12"/>
      <c r="J43" s="67">
        <f>_xlfn.PERCENTILE.INC(J$21:J$37,0.8)</f>
        <v>15.386792455639066</v>
      </c>
      <c r="K43" s="67">
        <f>_xlfn.PERCENTILE.INC(K$21:K$37,0.8)</f>
        <v>459.77245018547097</v>
      </c>
      <c r="L43" s="67">
        <f>_xlfn.PERCENTILE.INC(L$21:L$37,0.8)</f>
        <v>0.88496054811669278</v>
      </c>
      <c r="M43" s="67">
        <f>_xlfn.PERCENTILE.INC(M$21:M$37,0.8)</f>
        <v>21.15003673957758</v>
      </c>
      <c r="N43" s="67"/>
      <c r="O43" s="67"/>
      <c r="P43" s="67"/>
      <c r="Q43" s="67"/>
      <c r="R43" s="67">
        <f>_xlfn.PERCENTILE.INC(R$21:R$37,0.8)</f>
        <v>1.9726656994409058</v>
      </c>
      <c r="S43" s="67">
        <f>_xlfn.PERCENTILE.INC(S$21:S$37,0.8)</f>
        <v>5.2847408067295518</v>
      </c>
      <c r="T43" s="67">
        <f>_xlfn.PERCENTILE.INC(T$21:T$37,0.8)</f>
        <v>0.11345648052778112</v>
      </c>
      <c r="U43" s="67">
        <f>_xlfn.PERCENTILE.INC(U$21:U$37,0.8)</f>
        <v>0.24310387056985724</v>
      </c>
    </row>
    <row r="44" spans="1:21" x14ac:dyDescent="0.2">
      <c r="B44" s="12"/>
      <c r="C44" s="12"/>
      <c r="D44" s="123" t="s">
        <v>86</v>
      </c>
      <c r="E44" s="12"/>
      <c r="F44" s="12"/>
      <c r="G44" s="12"/>
      <c r="H44" s="12"/>
      <c r="I44" s="12"/>
      <c r="J44" s="67">
        <f>_xlfn.PERCENTILE.INC(J$21:J$37,0.75)</f>
        <v>13.442808269103116</v>
      </c>
      <c r="K44" s="67">
        <f>_xlfn.PERCENTILE.INC(K$21:K$37,0.75)</f>
        <v>400.97469655487299</v>
      </c>
      <c r="L44" s="67">
        <f>_xlfn.PERCENTILE.INC(L$21:L$37,0.75)</f>
        <v>0.88412027798025661</v>
      </c>
      <c r="M44" s="67">
        <f>_xlfn.PERCENTILE.INC(M$21:M$37,0.75)</f>
        <v>21.12462192896508</v>
      </c>
      <c r="N44" s="67"/>
      <c r="O44" s="67"/>
      <c r="P44" s="67"/>
      <c r="Q44" s="67"/>
      <c r="R44" s="67">
        <f>_xlfn.PERCENTILE.INC(R$21:R$37,0.75)</f>
        <v>1.7234369575773225</v>
      </c>
      <c r="S44" s="67">
        <f>_xlfn.PERCENTILE.INC(S$21:S$37,0.75)</f>
        <v>4.6089045581019885</v>
      </c>
      <c r="T44" s="67">
        <f>_xlfn.PERCENTILE.INC(T$21:T$37,0.75)</f>
        <v>0.11334875358721239</v>
      </c>
      <c r="U44" s="67">
        <f>_xlfn.PERCENTILE.INC(U$21:U$37,0.75)</f>
        <v>0.24281174630994345</v>
      </c>
    </row>
    <row r="45" spans="1:21" x14ac:dyDescent="0.2">
      <c r="B45" s="12"/>
      <c r="C45" s="12"/>
      <c r="D45" s="123" t="s">
        <v>87</v>
      </c>
      <c r="E45" s="12"/>
      <c r="F45" s="12"/>
      <c r="G45" s="12"/>
      <c r="H45" s="12"/>
      <c r="I45" s="12"/>
      <c r="J45" s="67">
        <f>_xlfn.PERCENTILE.INC(J$21:J$37,0.5)</f>
        <v>4.6998481165116317</v>
      </c>
      <c r="K45" s="67">
        <f>_xlfn.PERCENTILE.INC(K$21:K$37,0.5)</f>
        <v>136.53512797079179</v>
      </c>
      <c r="L45" s="67">
        <f>_xlfn.PERCENTILE.INC(L$21:L$37,0.5)</f>
        <v>0.88185160566887666</v>
      </c>
      <c r="M45" s="67">
        <f>_xlfn.PERCENTILE.INC(M$21:M$37,0.5)</f>
        <v>21.056003665599285</v>
      </c>
      <c r="N45" s="67"/>
      <c r="O45" s="67"/>
      <c r="P45" s="67"/>
      <c r="Q45" s="67"/>
      <c r="R45" s="67">
        <f>_xlfn.PERCENTILE.INC(R$21:R$37,0.5)</f>
        <v>0.60254463032200412</v>
      </c>
      <c r="S45" s="67">
        <f>_xlfn.PERCENTILE.INC(S$21:S$37,0.5)</f>
        <v>1.5693692870205953</v>
      </c>
      <c r="T45" s="67">
        <f>_xlfn.PERCENTILE.INC(T$21:T$37,0.5)</f>
        <v>0.1130578981626765</v>
      </c>
      <c r="U45" s="67">
        <f>_xlfn.PERCENTILE.INC(U$21:U$37,0.5)</f>
        <v>0.24202303063907224</v>
      </c>
    </row>
    <row r="46" spans="1:21" x14ac:dyDescent="0.2">
      <c r="B46" s="12"/>
      <c r="C46" s="12"/>
      <c r="D46" s="123" t="s">
        <v>88</v>
      </c>
      <c r="E46" s="12"/>
      <c r="F46" s="12"/>
      <c r="G46" s="12"/>
      <c r="H46" s="12"/>
      <c r="I46" s="12"/>
      <c r="J46" s="67">
        <f>_xlfn.PERCENTILE.INC(J$21:J$37,0.25)</f>
        <v>3.3446193372679032</v>
      </c>
      <c r="K46" s="67">
        <f>_xlfn.PERCENTILE.INC(K$21:K$37,0.25)</f>
        <v>95.544877065882233</v>
      </c>
      <c r="L46" s="67">
        <f>_xlfn.PERCENTILE.INC(L$21:L$37,0.25)</f>
        <v>0.88098955670509627</v>
      </c>
      <c r="M46" s="67">
        <f>_xlfn.PERCENTILE.INC(M$21:M$37,0.25)</f>
        <v>21.029930132419473</v>
      </c>
      <c r="N46" s="67"/>
      <c r="O46" s="67"/>
      <c r="P46" s="67"/>
      <c r="Q46" s="67"/>
      <c r="R46" s="67">
        <f>_xlfn.PERCENTILE.INC(R$21:R$37,0.25)</f>
        <v>0.42879735093178245</v>
      </c>
      <c r="S46" s="67">
        <f>_xlfn.PERCENTILE.INC(S$21:S$37,0.25)</f>
        <v>1.0982169777687614</v>
      </c>
      <c r="T46" s="67">
        <f>_xlfn.PERCENTILE.INC(T$21:T$37,0.25)</f>
        <v>0.11294737906475594</v>
      </c>
      <c r="U46" s="67">
        <f>_xlfn.PERCENTILE.INC(U$21:U$37,0.25)</f>
        <v>0.24172333485539624</v>
      </c>
    </row>
    <row r="47" spans="1:21" x14ac:dyDescent="0.2">
      <c r="B47" s="12"/>
      <c r="C47" s="12"/>
      <c r="D47" s="123" t="s">
        <v>89</v>
      </c>
      <c r="E47" s="12"/>
      <c r="F47" s="12"/>
      <c r="G47" s="12"/>
      <c r="H47" s="12"/>
      <c r="I47" s="12"/>
      <c r="J47" s="67">
        <f>_xlfn.PERCENTILE.INC(J$21:J$37,0.1)</f>
        <v>3.1663823860035216</v>
      </c>
      <c r="K47" s="67">
        <f>_xlfn.PERCENTILE.INC(K$21:K$37,0.1)</f>
        <v>90.153922392807672</v>
      </c>
      <c r="L47" s="67">
        <f>_xlfn.PERCENTILE.INC(L$21:L$37,0.1)</f>
        <v>0.88051072481238868</v>
      </c>
      <c r="M47" s="67">
        <f>_xlfn.PERCENTILE.INC(M$21:M$37,0.1)</f>
        <v>21.015447382794527</v>
      </c>
      <c r="N47" s="67"/>
      <c r="O47" s="67"/>
      <c r="P47" s="67"/>
      <c r="Q47" s="67"/>
      <c r="R47" s="67">
        <f>_xlfn.PERCENTILE.INC(R$21:R$37,0.1)</f>
        <v>0.40594645974404125</v>
      </c>
      <c r="S47" s="67">
        <f>_xlfn.PERCENTILE.INC(S$21:S$37,0.1)</f>
        <v>1.036251981526525</v>
      </c>
      <c r="T47" s="67">
        <f>_xlfn.PERCENTILE.INC(T$21:T$37,0.1)</f>
        <v>0.11288599036056265</v>
      </c>
      <c r="U47" s="67">
        <f>_xlfn.PERCENTILE.INC(U$21:U$37,0.1)</f>
        <v>0.24155686646890259</v>
      </c>
    </row>
  </sheetData>
  <mergeCells count="13">
    <mergeCell ref="B40:D40"/>
    <mergeCell ref="B41:D41"/>
    <mergeCell ref="B39:D39"/>
    <mergeCell ref="B2:Q2"/>
    <mergeCell ref="B4:G4"/>
    <mergeCell ref="J4:P4"/>
    <mergeCell ref="B13:G13"/>
    <mergeCell ref="B19:U19"/>
    <mergeCell ref="N21:N37"/>
    <mergeCell ref="O21:O37"/>
    <mergeCell ref="P21:P37"/>
    <mergeCell ref="Q21:Q37"/>
    <mergeCell ref="B38:D38"/>
  </mergeCells>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sheetPr>
  <dimension ref="A2:U47"/>
  <sheetViews>
    <sheetView topLeftCell="A4" zoomScale="90" zoomScaleNormal="90" workbookViewId="0">
      <selection activeCell="B21" sqref="B21:B37"/>
    </sheetView>
  </sheetViews>
  <sheetFormatPr baseColWidth="10" defaultColWidth="9" defaultRowHeight="12.75" x14ac:dyDescent="0.2"/>
  <cols>
    <col min="1" max="1" width="9" style="1"/>
    <col min="2" max="2" width="58.375" style="1" bestFit="1" customWidth="1"/>
    <col min="3" max="3" width="3.875" style="1" bestFit="1" customWidth="1"/>
    <col min="4" max="4" width="28.625" style="1" customWidth="1"/>
    <col min="5" max="5" width="13.625" style="1" bestFit="1" customWidth="1"/>
    <col min="6" max="13" width="15.625" style="1" customWidth="1"/>
    <col min="14" max="17" width="11.625" style="1" customWidth="1"/>
    <col min="18" max="18" width="14.5" style="1" bestFit="1" customWidth="1"/>
    <col min="19" max="19" width="18.375" style="1" bestFit="1" customWidth="1"/>
    <col min="20" max="21" width="14.5" style="1" bestFit="1" customWidth="1"/>
    <col min="22" max="16384" width="9" style="1"/>
  </cols>
  <sheetData>
    <row r="2" spans="2:17" ht="21" customHeight="1" thickBot="1" x14ac:dyDescent="0.35">
      <c r="B2" s="155" t="s">
        <v>90</v>
      </c>
      <c r="C2" s="155"/>
      <c r="D2" s="155"/>
      <c r="E2" s="155"/>
      <c r="F2" s="155"/>
      <c r="G2" s="155"/>
      <c r="H2" s="155"/>
      <c r="I2" s="155"/>
      <c r="J2" s="155"/>
      <c r="K2" s="155"/>
      <c r="L2" s="155"/>
      <c r="M2" s="155"/>
      <c r="N2" s="155"/>
      <c r="O2" s="155"/>
      <c r="P2" s="155"/>
      <c r="Q2" s="155"/>
    </row>
    <row r="3" spans="2:17" ht="15" customHeight="1" thickTop="1" x14ac:dyDescent="0.2">
      <c r="B3" s="113" t="str">
        <f>Tooltype</f>
        <v>Calculator tool for the German scenario for inland water marinas</v>
      </c>
    </row>
    <row r="4" spans="2:17" ht="15" customHeight="1" thickBot="1" x14ac:dyDescent="0.35">
      <c r="B4" s="156" t="s">
        <v>47</v>
      </c>
      <c r="C4" s="156"/>
      <c r="D4" s="156"/>
      <c r="E4" s="156"/>
      <c r="F4" s="156"/>
      <c r="G4" s="156"/>
      <c r="J4" s="156" t="s">
        <v>155</v>
      </c>
      <c r="K4" s="156"/>
      <c r="L4" s="156"/>
      <c r="M4" s="156"/>
      <c r="N4" s="156"/>
      <c r="O4" s="156"/>
      <c r="P4" s="156"/>
    </row>
    <row r="5" spans="2:17" ht="15" customHeight="1" thickTop="1" x14ac:dyDescent="0.2"/>
    <row r="6" spans="2:17" ht="15" customHeight="1" x14ac:dyDescent="0.2">
      <c r="B6" s="1" t="s">
        <v>66</v>
      </c>
      <c r="F6" s="48">
        <v>2.5</v>
      </c>
      <c r="G6" s="23" t="s">
        <v>92</v>
      </c>
      <c r="J6" s="2" t="s">
        <v>156</v>
      </c>
      <c r="K6" s="2"/>
      <c r="L6" s="2"/>
      <c r="M6" s="2"/>
      <c r="N6" s="2"/>
      <c r="O6" s="50">
        <v>3070</v>
      </c>
      <c r="P6" s="2" t="s">
        <v>139</v>
      </c>
    </row>
    <row r="7" spans="2:17" ht="15" customHeight="1" x14ac:dyDescent="0.2">
      <c r="B7" s="1" t="s">
        <v>52</v>
      </c>
      <c r="F7" s="1">
        <f>P_Average_biocide_release_over_the_lifetime_of_the_paint_M</f>
        <v>2.5</v>
      </c>
      <c r="G7" s="23" t="s">
        <v>92</v>
      </c>
    </row>
    <row r="8" spans="2:17" ht="15" customHeight="1" x14ac:dyDescent="0.2">
      <c r="B8" s="1" t="s">
        <v>53</v>
      </c>
      <c r="F8" s="32" t="e">
        <f>P_Average_biocide_release_over_the_lifetime_of_the_paint_C</f>
        <v>#DIV/0!</v>
      </c>
      <c r="G8" s="23" t="s">
        <v>92</v>
      </c>
    </row>
    <row r="9" spans="2:17" ht="15" customHeight="1" x14ac:dyDescent="0.2">
      <c r="B9" s="1" t="s">
        <v>51</v>
      </c>
      <c r="F9" s="35">
        <f>IF(ISBLANK(P_Average_biocide_release_over_the_lifetime_of_the_paint_M),1,0)</f>
        <v>0</v>
      </c>
      <c r="G9" s="23"/>
    </row>
    <row r="10" spans="2:17" ht="15" customHeight="1" x14ac:dyDescent="0.2">
      <c r="B10" s="1" t="s">
        <v>50</v>
      </c>
      <c r="F10" s="32">
        <f>IF((F9&lt;1),P_Average_biocide_release_over_the_lifetime_of_the_paint_M,P_Average_biocide_release_over_the_lifetime_of_the_paint_C)</f>
        <v>2.5</v>
      </c>
      <c r="G10" s="23" t="s">
        <v>92</v>
      </c>
    </row>
    <row r="11" spans="2:17" ht="15" customHeight="1" x14ac:dyDescent="0.2">
      <c r="B11" s="1" t="s">
        <v>48</v>
      </c>
      <c r="F11" s="32">
        <f>F10/F6</f>
        <v>1</v>
      </c>
      <c r="G11" s="1" t="s">
        <v>2</v>
      </c>
    </row>
    <row r="12" spans="2:17" ht="15" customHeight="1" x14ac:dyDescent="0.2">
      <c r="F12" s="32"/>
    </row>
    <row r="13" spans="2:17" ht="15" customHeight="1" thickBot="1" x14ac:dyDescent="0.35">
      <c r="B13" s="156" t="s">
        <v>65</v>
      </c>
      <c r="C13" s="156"/>
      <c r="D13" s="156"/>
      <c r="E13" s="156"/>
      <c r="F13" s="156"/>
      <c r="G13" s="156"/>
    </row>
    <row r="14" spans="2:17" ht="15" customHeight="1" thickTop="1" x14ac:dyDescent="0.2"/>
    <row r="15" spans="2:17" ht="15" customHeight="1" x14ac:dyDescent="0.2">
      <c r="B15" s="1" t="s">
        <v>72</v>
      </c>
      <c r="F15" s="121">
        <v>0.9</v>
      </c>
    </row>
    <row r="16" spans="2:17" ht="15" customHeight="1" x14ac:dyDescent="0.2">
      <c r="B16" s="1" t="s">
        <v>67</v>
      </c>
      <c r="F16" s="32">
        <f>Application_Factor</f>
        <v>0.9</v>
      </c>
    </row>
    <row r="17" spans="2:21" ht="15" customHeight="1" x14ac:dyDescent="0.2">
      <c r="B17" s="1" t="s">
        <v>48</v>
      </c>
      <c r="F17" s="32">
        <f>F16/F15</f>
        <v>1</v>
      </c>
      <c r="G17" s="46"/>
    </row>
    <row r="18" spans="2:21" ht="15" customHeight="1" x14ac:dyDescent="0.2"/>
    <row r="19" spans="2:21" ht="15" x14ac:dyDescent="0.2">
      <c r="B19" s="152" t="s">
        <v>180</v>
      </c>
      <c r="C19" s="152"/>
      <c r="D19" s="152"/>
      <c r="E19" s="152"/>
      <c r="F19" s="152"/>
      <c r="G19" s="152"/>
      <c r="H19" s="152"/>
      <c r="I19" s="152"/>
      <c r="J19" s="152"/>
      <c r="K19" s="152"/>
      <c r="L19" s="152"/>
      <c r="M19" s="152"/>
      <c r="N19" s="152"/>
      <c r="O19" s="152"/>
      <c r="P19" s="152"/>
      <c r="Q19" s="152"/>
      <c r="R19" s="152"/>
      <c r="S19" s="152"/>
      <c r="T19" s="152"/>
      <c r="U19" s="152"/>
    </row>
    <row r="20" spans="2:21" ht="95.1" customHeight="1" x14ac:dyDescent="0.2">
      <c r="B20" s="87" t="s">
        <v>8</v>
      </c>
      <c r="C20" s="75" t="s">
        <v>109</v>
      </c>
      <c r="D20" s="87" t="s">
        <v>10</v>
      </c>
      <c r="E20" s="7" t="s">
        <v>162</v>
      </c>
      <c r="F20" s="8" t="s">
        <v>140</v>
      </c>
      <c r="G20" s="8" t="s">
        <v>141</v>
      </c>
      <c r="H20" s="8" t="s">
        <v>110</v>
      </c>
      <c r="I20" s="8" t="s">
        <v>142</v>
      </c>
      <c r="J20" s="8" t="s">
        <v>100</v>
      </c>
      <c r="K20" s="8" t="s">
        <v>143</v>
      </c>
      <c r="L20" s="8" t="s">
        <v>101</v>
      </c>
      <c r="M20" s="8" t="s">
        <v>144</v>
      </c>
      <c r="N20" s="7" t="s">
        <v>105</v>
      </c>
      <c r="O20" s="7" t="s">
        <v>104</v>
      </c>
      <c r="P20" s="7" t="s">
        <v>103</v>
      </c>
      <c r="Q20" s="7" t="s">
        <v>111</v>
      </c>
      <c r="R20" s="7" t="s">
        <v>58</v>
      </c>
      <c r="S20" s="7" t="s">
        <v>59</v>
      </c>
      <c r="T20" s="7" t="s">
        <v>60</v>
      </c>
      <c r="U20" s="7" t="s">
        <v>61</v>
      </c>
    </row>
    <row r="21" spans="2:21" ht="14.25" customHeight="1" x14ac:dyDescent="0.2">
      <c r="B21" s="78" t="s">
        <v>196</v>
      </c>
      <c r="C21" s="89" t="s">
        <v>11</v>
      </c>
      <c r="D21" s="78" t="str">
        <f t="shared" ref="D21:D37" si="0">P_Compound_Name</f>
        <v>Pyrithione</v>
      </c>
      <c r="E21" s="49">
        <v>4180</v>
      </c>
      <c r="F21" s="129">
        <v>28.777439322471601</v>
      </c>
      <c r="G21" s="129">
        <v>8.4639531004428896</v>
      </c>
      <c r="H21" s="129">
        <v>3.2820222591302202E-3</v>
      </c>
      <c r="I21" s="129">
        <v>9.6530070950393595E-4</v>
      </c>
      <c r="J21" s="124">
        <f t="shared" ref="J21:J37" si="1">((($E21/$O$6)*$F21)*P_Leaching_Conversion_Factor*Application_Conversion_Factor)+P_Background_SW_Freshwater</f>
        <v>39.182311520498793</v>
      </c>
      <c r="K21" s="124">
        <f t="shared" ref="K21:K37" si="2">((($E21/$O$6)*$G21)*P_Leaching_Conversion_Factor*Application_Conversion_Factor)+P_Background_Sed_Freshwater</f>
        <v>11.52420975890921</v>
      </c>
      <c r="L21" s="124">
        <f t="shared" ref="L21:L37" si="3">((($E21/$O$6)*$H21)*P_Leaching_Conversion_Factor*Application_Conversion_Factor)+P_Background_SW_Freshwater</f>
        <v>4.4686817730176936E-3</v>
      </c>
      <c r="M21" s="124">
        <f t="shared" ref="M21:M37" si="4">((($E21/$O$6)*$I21)*P_Leaching_Conversion_Factor*Application_Conversion_Factor)+P_Background_Sed_Freshwater</f>
        <v>1.3143182298783231E-3</v>
      </c>
      <c r="N21" s="158">
        <f>P_PNEC_Aquatic_Inside</f>
        <v>1.7600000000000001E-2</v>
      </c>
      <c r="O21" s="158">
        <f>P_PNEC_Sediment_Inside</f>
        <v>8.5000000000000006E-3</v>
      </c>
      <c r="P21" s="158">
        <f>P_PNEC_Aquatic_Surrounding</f>
        <v>1.7600000000000001E-2</v>
      </c>
      <c r="Q21" s="158">
        <f>P_PNEC_Sediment_Surrounding</f>
        <v>8.5000000000000006E-3</v>
      </c>
      <c r="R21" s="66">
        <f t="shared" ref="R21:R37" si="5">$J21/P_PNEC_Aquatic_Inside</f>
        <v>2226.2677000283402</v>
      </c>
      <c r="S21" s="66">
        <f t="shared" ref="S21:S37" si="6">$K21/P_PNEC_Sediment_Inside</f>
        <v>1355.7893834010833</v>
      </c>
      <c r="T21" s="66">
        <f t="shared" ref="T21:T37" si="7">$L21/P_PNEC_Aquatic_Surrounding</f>
        <v>0.25390237346691441</v>
      </c>
      <c r="U21" s="66">
        <f t="shared" ref="U21:U37" si="8">$M21/P_PNEC_Sediment_Surrounding</f>
        <v>0.15462567410333211</v>
      </c>
    </row>
    <row r="22" spans="2:21" ht="14.25" customHeight="1" x14ac:dyDescent="0.2">
      <c r="B22" s="78" t="s">
        <v>197</v>
      </c>
      <c r="C22" s="89" t="s">
        <v>11</v>
      </c>
      <c r="D22" s="78" t="str">
        <f t="shared" si="0"/>
        <v>Pyrithione</v>
      </c>
      <c r="E22" s="49">
        <v>2888</v>
      </c>
      <c r="F22" s="129">
        <v>4.6309702491760198</v>
      </c>
      <c r="G22" s="129">
        <v>11.787924064397799</v>
      </c>
      <c r="H22" s="129">
        <v>1.2701022411890899E-3</v>
      </c>
      <c r="I22" s="129">
        <v>3.23298745759506E-3</v>
      </c>
      <c r="J22" s="124">
        <f t="shared" si="1"/>
        <v>4.3564306448274746</v>
      </c>
      <c r="K22" s="124">
        <f t="shared" si="2"/>
        <v>11.089095992827637</v>
      </c>
      <c r="L22" s="124">
        <f t="shared" si="3"/>
        <v>1.194806277704916E-3</v>
      </c>
      <c r="M22" s="124">
        <f t="shared" si="4"/>
        <v>3.0413250089689034E-3</v>
      </c>
      <c r="N22" s="158"/>
      <c r="O22" s="158"/>
      <c r="P22" s="158"/>
      <c r="Q22" s="158"/>
      <c r="R22" s="66">
        <f t="shared" si="5"/>
        <v>247.52446845610649</v>
      </c>
      <c r="S22" s="66">
        <f t="shared" si="6"/>
        <v>1304.5995285679573</v>
      </c>
      <c r="T22" s="66">
        <f t="shared" si="7"/>
        <v>6.7886720324142946E-2</v>
      </c>
      <c r="U22" s="66">
        <f t="shared" si="8"/>
        <v>0.35780294223163567</v>
      </c>
    </row>
    <row r="23" spans="2:21" ht="14.25" customHeight="1" x14ac:dyDescent="0.2">
      <c r="B23" s="78" t="s">
        <v>198</v>
      </c>
      <c r="C23" s="89" t="s">
        <v>11</v>
      </c>
      <c r="D23" s="78" t="str">
        <f t="shared" si="0"/>
        <v>Pyrithione</v>
      </c>
      <c r="E23" s="49">
        <v>9904</v>
      </c>
      <c r="F23" s="129">
        <v>8.5184437131881694</v>
      </c>
      <c r="G23" s="129">
        <v>42.903113155364998</v>
      </c>
      <c r="H23" s="129">
        <v>1.62382888285265E-3</v>
      </c>
      <c r="I23" s="129">
        <v>8.1784087281630505E-3</v>
      </c>
      <c r="J23" s="124">
        <f t="shared" si="1"/>
        <v>27.480998871470891</v>
      </c>
      <c r="K23" s="124">
        <f t="shared" si="2"/>
        <v>138.40795853118402</v>
      </c>
      <c r="L23" s="124">
        <f t="shared" si="3"/>
        <v>5.2385671842907645E-3</v>
      </c>
      <c r="M23" s="124">
        <f t="shared" si="4"/>
        <v>2.6384026072875197E-2</v>
      </c>
      <c r="N23" s="158"/>
      <c r="O23" s="158"/>
      <c r="P23" s="158"/>
      <c r="Q23" s="158"/>
      <c r="R23" s="66">
        <f t="shared" si="5"/>
        <v>1561.4203904244823</v>
      </c>
      <c r="S23" s="66">
        <f t="shared" si="6"/>
        <v>16283.289238962825</v>
      </c>
      <c r="T23" s="66">
        <f t="shared" si="7"/>
        <v>0.2976458627437934</v>
      </c>
      <c r="U23" s="66">
        <f t="shared" si="8"/>
        <v>3.1040030673970818</v>
      </c>
    </row>
    <row r="24" spans="2:21" ht="14.25" customHeight="1" x14ac:dyDescent="0.2">
      <c r="B24" s="78" t="s">
        <v>199</v>
      </c>
      <c r="C24" s="89" t="s">
        <v>11</v>
      </c>
      <c r="D24" s="78" t="str">
        <f t="shared" si="0"/>
        <v>Pyrithione</v>
      </c>
      <c r="E24" s="49">
        <v>31839</v>
      </c>
      <c r="F24" s="129">
        <v>0.98354026064276701</v>
      </c>
      <c r="G24" s="129">
        <v>9.8354025936126703</v>
      </c>
      <c r="H24" s="129">
        <v>2.4758104650728102E-4</v>
      </c>
      <c r="I24" s="129">
        <v>2.47581047161115E-3</v>
      </c>
      <c r="J24" s="124">
        <f t="shared" si="1"/>
        <v>10.20030565426875</v>
      </c>
      <c r="K24" s="124">
        <f t="shared" si="2"/>
        <v>102.003056409783</v>
      </c>
      <c r="L24" s="124">
        <f t="shared" si="3"/>
        <v>2.5676654526857723E-3</v>
      </c>
      <c r="M24" s="124">
        <f t="shared" si="4"/>
        <v>2.567665459466691E-2</v>
      </c>
      <c r="N24" s="158"/>
      <c r="O24" s="158"/>
      <c r="P24" s="158"/>
      <c r="Q24" s="158"/>
      <c r="R24" s="66">
        <f t="shared" si="5"/>
        <v>579.5628212652698</v>
      </c>
      <c r="S24" s="66">
        <f t="shared" si="6"/>
        <v>12000.359577621528</v>
      </c>
      <c r="T24" s="66">
        <f t="shared" si="7"/>
        <v>0.14589008253896432</v>
      </c>
      <c r="U24" s="66">
        <f t="shared" si="8"/>
        <v>3.0207828934902246</v>
      </c>
    </row>
    <row r="25" spans="2:21" ht="14.25" customHeight="1" x14ac:dyDescent="0.2">
      <c r="B25" s="78" t="s">
        <v>200</v>
      </c>
      <c r="C25" s="89" t="s">
        <v>11</v>
      </c>
      <c r="D25" s="78" t="str">
        <f t="shared" si="0"/>
        <v>Pyrithione</v>
      </c>
      <c r="E25" s="49">
        <v>12360</v>
      </c>
      <c r="F25" s="129">
        <v>0.52418958313763098</v>
      </c>
      <c r="G25" s="129">
        <v>5.0139876258373297</v>
      </c>
      <c r="H25" s="129">
        <v>1.13045813898631E-4</v>
      </c>
      <c r="I25" s="129">
        <v>1.0813078492414E-3</v>
      </c>
      <c r="J25" s="124">
        <f t="shared" si="1"/>
        <v>2.1104179959547618</v>
      </c>
      <c r="K25" s="124">
        <f t="shared" si="2"/>
        <v>20.186608161351593</v>
      </c>
      <c r="L25" s="124">
        <f t="shared" si="3"/>
        <v>4.5512907484921144E-4</v>
      </c>
      <c r="M25" s="124">
        <f t="shared" si="4"/>
        <v>4.3534088002031611E-3</v>
      </c>
      <c r="N25" s="158"/>
      <c r="O25" s="158"/>
      <c r="P25" s="158"/>
      <c r="Q25" s="158"/>
      <c r="R25" s="66">
        <f t="shared" si="5"/>
        <v>119.91011340652055</v>
      </c>
      <c r="S25" s="66">
        <f t="shared" si="6"/>
        <v>2374.8950778060698</v>
      </c>
      <c r="T25" s="66">
        <f t="shared" si="7"/>
        <v>2.5859606525523375E-2</v>
      </c>
      <c r="U25" s="66">
        <f t="shared" si="8"/>
        <v>0.51216574120037184</v>
      </c>
    </row>
    <row r="26" spans="2:21" ht="14.25" customHeight="1" x14ac:dyDescent="0.2">
      <c r="B26" s="78" t="s">
        <v>201</v>
      </c>
      <c r="C26" s="89" t="s">
        <v>11</v>
      </c>
      <c r="D26" s="78" t="str">
        <f t="shared" si="0"/>
        <v>Pyrithione</v>
      </c>
      <c r="E26" s="49">
        <v>12311</v>
      </c>
      <c r="F26" s="129">
        <v>0.72610309265553996</v>
      </c>
      <c r="G26" s="129">
        <v>1.5224741546809699</v>
      </c>
      <c r="H26" s="129">
        <v>4.4086711036585698E-4</v>
      </c>
      <c r="I26" s="129">
        <v>9.2439874042841898E-4</v>
      </c>
      <c r="J26" s="124">
        <f t="shared" si="1"/>
        <v>2.9117443562483234</v>
      </c>
      <c r="K26" s="124">
        <f t="shared" si="2"/>
        <v>6.105270136246717</v>
      </c>
      <c r="L26" s="124">
        <f t="shared" si="3"/>
        <v>1.7679201940436695E-3</v>
      </c>
      <c r="M26" s="124">
        <f t="shared" si="4"/>
        <v>3.706929281242432E-3</v>
      </c>
      <c r="N26" s="158"/>
      <c r="O26" s="158"/>
      <c r="P26" s="158"/>
      <c r="Q26" s="158"/>
      <c r="R26" s="66">
        <f t="shared" si="5"/>
        <v>165.440020241382</v>
      </c>
      <c r="S26" s="66">
        <f t="shared" si="6"/>
        <v>718.26707485255486</v>
      </c>
      <c r="T26" s="66">
        <f t="shared" si="7"/>
        <v>0.10045001102520848</v>
      </c>
      <c r="U26" s="66">
        <f t="shared" si="8"/>
        <v>0.43610932720499196</v>
      </c>
    </row>
    <row r="27" spans="2:21" ht="14.25" customHeight="1" x14ac:dyDescent="0.2">
      <c r="B27" s="78" t="s">
        <v>202</v>
      </c>
      <c r="C27" s="89" t="s">
        <v>11</v>
      </c>
      <c r="D27" s="78" t="str">
        <f t="shared" si="0"/>
        <v>Pyrithione</v>
      </c>
      <c r="E27" s="49">
        <v>1377</v>
      </c>
      <c r="F27" s="129">
        <v>12.1817198836803</v>
      </c>
      <c r="G27" s="129">
        <v>2.3426384767889998</v>
      </c>
      <c r="H27" s="129">
        <v>7.5975267113082903E-3</v>
      </c>
      <c r="I27" s="129">
        <v>1.4610628544081299E-3</v>
      </c>
      <c r="J27" s="124">
        <f t="shared" si="1"/>
        <v>5.4639180064585577</v>
      </c>
      <c r="K27" s="124">
        <f t="shared" si="2"/>
        <v>1.0507534796542193</v>
      </c>
      <c r="L27" s="124">
        <f t="shared" si="3"/>
        <v>3.4077505802838815E-3</v>
      </c>
      <c r="M27" s="124">
        <f t="shared" si="4"/>
        <v>6.5533666140716446E-4</v>
      </c>
      <c r="N27" s="158"/>
      <c r="O27" s="158"/>
      <c r="P27" s="158"/>
      <c r="Q27" s="158"/>
      <c r="R27" s="66">
        <f t="shared" si="5"/>
        <v>310.44988673059987</v>
      </c>
      <c r="S27" s="66">
        <f t="shared" si="6"/>
        <v>123.61805642990814</v>
      </c>
      <c r="T27" s="66">
        <f t="shared" si="7"/>
        <v>0.19362219206158415</v>
      </c>
      <c r="U27" s="66">
        <f t="shared" si="8"/>
        <v>7.7098430753784045E-2</v>
      </c>
    </row>
    <row r="28" spans="2:21" ht="14.25" customHeight="1" x14ac:dyDescent="0.2">
      <c r="B28" s="78" t="s">
        <v>203</v>
      </c>
      <c r="C28" s="89" t="s">
        <v>11</v>
      </c>
      <c r="D28" s="78" t="str">
        <f t="shared" si="0"/>
        <v>Pyrithione</v>
      </c>
      <c r="E28" s="49">
        <v>1725</v>
      </c>
      <c r="F28" s="129">
        <v>19.064458959102598</v>
      </c>
      <c r="G28" s="129">
        <v>2669.0242446899401</v>
      </c>
      <c r="H28" s="129">
        <v>6.7523730518344897E-3</v>
      </c>
      <c r="I28" s="129">
        <v>0.94533222894184299</v>
      </c>
      <c r="J28" s="124">
        <f t="shared" si="1"/>
        <v>10.712114561710743</v>
      </c>
      <c r="K28" s="124">
        <f t="shared" si="2"/>
        <v>1499.6960332541196</v>
      </c>
      <c r="L28" s="124">
        <f t="shared" si="3"/>
        <v>3.7940858353141677E-3</v>
      </c>
      <c r="M28" s="124">
        <f t="shared" si="4"/>
        <v>0.53117201789077495</v>
      </c>
      <c r="N28" s="158"/>
      <c r="O28" s="158"/>
      <c r="P28" s="158"/>
      <c r="Q28" s="158"/>
      <c r="R28" s="66">
        <f t="shared" si="5"/>
        <v>608.64287282447401</v>
      </c>
      <c r="S28" s="66">
        <f t="shared" si="6"/>
        <v>176434.82744166112</v>
      </c>
      <c r="T28" s="66">
        <f t="shared" si="7"/>
        <v>0.2155730588246686</v>
      </c>
      <c r="U28" s="66">
        <f t="shared" si="8"/>
        <v>62.490825634208811</v>
      </c>
    </row>
    <row r="29" spans="2:21" ht="14.25" customHeight="1" x14ac:dyDescent="0.2">
      <c r="B29" s="78" t="s">
        <v>204</v>
      </c>
      <c r="C29" s="89" t="s">
        <v>11</v>
      </c>
      <c r="D29" s="78" t="str">
        <f t="shared" si="0"/>
        <v>Pyrithione</v>
      </c>
      <c r="E29" s="49">
        <v>9402</v>
      </c>
      <c r="F29" s="129">
        <v>1.0454209670424499</v>
      </c>
      <c r="G29" s="129">
        <v>1.6506647405028301</v>
      </c>
      <c r="H29" s="129">
        <v>1.9313145398048E-3</v>
      </c>
      <c r="I29" s="129">
        <v>3.0494441174596398E-3</v>
      </c>
      <c r="J29" s="124">
        <f t="shared" si="1"/>
        <v>3.2016442775677896</v>
      </c>
      <c r="K29" s="124">
        <f t="shared" si="2"/>
        <v>5.0552279772663216</v>
      </c>
      <c r="L29" s="124">
        <f t="shared" si="3"/>
        <v>5.914729414737697E-3</v>
      </c>
      <c r="M29" s="124">
        <f t="shared" si="4"/>
        <v>9.3390467727542444E-3</v>
      </c>
      <c r="N29" s="158"/>
      <c r="O29" s="158"/>
      <c r="P29" s="158"/>
      <c r="Q29" s="158"/>
      <c r="R29" s="66">
        <f t="shared" si="5"/>
        <v>181.91160667998804</v>
      </c>
      <c r="S29" s="66">
        <f t="shared" si="6"/>
        <v>594.7327032078025</v>
      </c>
      <c r="T29" s="66">
        <f t="shared" si="7"/>
        <v>0.33606417129191457</v>
      </c>
      <c r="U29" s="66">
        <f t="shared" si="8"/>
        <v>1.0987113850299111</v>
      </c>
    </row>
    <row r="30" spans="2:21" ht="14.25" customHeight="1" x14ac:dyDescent="0.2">
      <c r="B30" s="78" t="s">
        <v>205</v>
      </c>
      <c r="C30" s="89" t="s">
        <v>11</v>
      </c>
      <c r="D30" s="78" t="str">
        <f t="shared" si="0"/>
        <v>Pyrithione</v>
      </c>
      <c r="E30" s="49">
        <v>2818</v>
      </c>
      <c r="F30" s="129">
        <v>0.105346129275858</v>
      </c>
      <c r="G30" s="129">
        <v>2.5082413342315701E-2</v>
      </c>
      <c r="H30" s="129">
        <v>1.0207817514333E-4</v>
      </c>
      <c r="I30" s="129">
        <v>2.4304329193419899E-5</v>
      </c>
      <c r="J30" s="124">
        <f t="shared" si="1"/>
        <v>9.669882485321428E-2</v>
      </c>
      <c r="K30" s="124">
        <f t="shared" si="2"/>
        <v>2.3023531204770568E-2</v>
      </c>
      <c r="L30" s="124">
        <f t="shared" si="3"/>
        <v>9.3699119724398674E-5</v>
      </c>
      <c r="M30" s="124">
        <f t="shared" si="4"/>
        <v>2.2309315852461654E-5</v>
      </c>
      <c r="N30" s="158"/>
      <c r="O30" s="158"/>
      <c r="P30" s="158"/>
      <c r="Q30" s="158"/>
      <c r="R30" s="66">
        <f t="shared" si="5"/>
        <v>5.4942514121144477</v>
      </c>
      <c r="S30" s="66">
        <f t="shared" si="6"/>
        <v>2.7086507299730078</v>
      </c>
      <c r="T30" s="66">
        <f t="shared" si="7"/>
        <v>5.3238136207044697E-3</v>
      </c>
      <c r="U30" s="66">
        <f t="shared" si="8"/>
        <v>2.6246253944072532E-3</v>
      </c>
    </row>
    <row r="31" spans="2:21" ht="14.25" customHeight="1" x14ac:dyDescent="0.2">
      <c r="B31" s="78" t="s">
        <v>206</v>
      </c>
      <c r="C31" s="89" t="s">
        <v>11</v>
      </c>
      <c r="D31" s="78" t="str">
        <f t="shared" si="0"/>
        <v>Pyrithione</v>
      </c>
      <c r="E31" s="49">
        <v>7529</v>
      </c>
      <c r="F31" s="129">
        <v>14.2681231665611</v>
      </c>
      <c r="G31" s="129">
        <v>30.182571091651901</v>
      </c>
      <c r="H31" s="129">
        <v>4.0186429951668198E-3</v>
      </c>
      <c r="I31" s="129">
        <v>8.5009763845111108E-3</v>
      </c>
      <c r="J31" s="124">
        <f t="shared" si="1"/>
        <v>34.991758736494631</v>
      </c>
      <c r="K31" s="124">
        <f t="shared" si="2"/>
        <v>74.021035097409509</v>
      </c>
      <c r="L31" s="124">
        <f t="shared" si="3"/>
        <v>9.8554928699058596E-3</v>
      </c>
      <c r="M31" s="124">
        <f t="shared" si="4"/>
        <v>2.0848159999669106E-2</v>
      </c>
      <c r="N31" s="158"/>
      <c r="O31" s="158"/>
      <c r="P31" s="158"/>
      <c r="Q31" s="158"/>
      <c r="R31" s="66">
        <f t="shared" si="5"/>
        <v>1988.1681100281039</v>
      </c>
      <c r="S31" s="66">
        <f t="shared" si="6"/>
        <v>8708.3570702834713</v>
      </c>
      <c r="T31" s="66">
        <f t="shared" si="7"/>
        <v>0.55997118579010563</v>
      </c>
      <c r="U31" s="66">
        <f t="shared" si="8"/>
        <v>2.4527247058434241</v>
      </c>
    </row>
    <row r="32" spans="2:21" ht="14.25" customHeight="1" x14ac:dyDescent="0.2">
      <c r="B32" s="78" t="s">
        <v>207</v>
      </c>
      <c r="C32" s="89" t="s">
        <v>11</v>
      </c>
      <c r="D32" s="78" t="str">
        <f t="shared" si="0"/>
        <v>Pyrithione</v>
      </c>
      <c r="E32" s="49">
        <v>2825</v>
      </c>
      <c r="F32" s="129">
        <v>17.263201944828001</v>
      </c>
      <c r="G32" s="129">
        <v>15.693820438385</v>
      </c>
      <c r="H32" s="129">
        <v>9.3025617009213097E-3</v>
      </c>
      <c r="I32" s="129">
        <v>8.4568745130673001E-3</v>
      </c>
      <c r="J32" s="124">
        <f t="shared" si="1"/>
        <v>15.885519704931303</v>
      </c>
      <c r="K32" s="124">
        <f t="shared" si="2"/>
        <v>14.441381999491082</v>
      </c>
      <c r="L32" s="124">
        <f t="shared" si="3"/>
        <v>8.5601748550823125E-3</v>
      </c>
      <c r="M32" s="124">
        <f t="shared" si="4"/>
        <v>7.7819773613730043E-3</v>
      </c>
      <c r="N32" s="158"/>
      <c r="O32" s="158"/>
      <c r="P32" s="158"/>
      <c r="Q32" s="158"/>
      <c r="R32" s="66">
        <f t="shared" si="5"/>
        <v>902.58634687109668</v>
      </c>
      <c r="S32" s="66">
        <f t="shared" si="6"/>
        <v>1698.9861175871861</v>
      </c>
      <c r="T32" s="66">
        <f t="shared" si="7"/>
        <v>0.486373571311495</v>
      </c>
      <c r="U32" s="66">
        <f t="shared" si="8"/>
        <v>0.91552674839682402</v>
      </c>
    </row>
    <row r="33" spans="1:21" ht="14.25" customHeight="1" x14ac:dyDescent="0.2">
      <c r="B33" s="78" t="s">
        <v>208</v>
      </c>
      <c r="C33" s="89" t="s">
        <v>11</v>
      </c>
      <c r="D33" s="78" t="str">
        <f t="shared" si="0"/>
        <v>Pyrithione</v>
      </c>
      <c r="E33" s="49">
        <v>726</v>
      </c>
      <c r="F33" s="129">
        <v>11.636722272634501</v>
      </c>
      <c r="G33" s="129">
        <v>36.364757032394401</v>
      </c>
      <c r="H33" s="129">
        <v>5.2371929459548603E-3</v>
      </c>
      <c r="I33" s="129">
        <v>1.6366227972506E-2</v>
      </c>
      <c r="J33" s="124">
        <f t="shared" si="1"/>
        <v>2.7518763419976047</v>
      </c>
      <c r="K33" s="124">
        <f t="shared" si="2"/>
        <v>8.5996135522861028</v>
      </c>
      <c r="L33" s="124">
        <f t="shared" si="3"/>
        <v>1.238502305786068E-3</v>
      </c>
      <c r="M33" s="124">
        <f t="shared" si="4"/>
        <v>3.8703197094590732E-3</v>
      </c>
      <c r="N33" s="158"/>
      <c r="O33" s="158"/>
      <c r="P33" s="158"/>
      <c r="Q33" s="158"/>
      <c r="R33" s="66">
        <f t="shared" si="5"/>
        <v>156.35661034077299</v>
      </c>
      <c r="S33" s="66">
        <f t="shared" si="6"/>
        <v>1011.7192414454238</v>
      </c>
      <c r="T33" s="66">
        <f t="shared" si="7"/>
        <v>7.0369449192390215E-2</v>
      </c>
      <c r="U33" s="66">
        <f t="shared" si="8"/>
        <v>0.4553317305245968</v>
      </c>
    </row>
    <row r="34" spans="1:21" ht="14.25" customHeight="1" x14ac:dyDescent="0.2">
      <c r="B34" s="78" t="s">
        <v>209</v>
      </c>
      <c r="C34" s="89" t="s">
        <v>11</v>
      </c>
      <c r="D34" s="78" t="str">
        <f t="shared" si="0"/>
        <v>Pyrithione</v>
      </c>
      <c r="E34" s="49">
        <v>4138</v>
      </c>
      <c r="F34" s="129">
        <v>2.0670004189014399</v>
      </c>
      <c r="G34" s="129">
        <v>0.22966671548783801</v>
      </c>
      <c r="H34" s="129">
        <v>3.67989286670195E-4</v>
      </c>
      <c r="I34" s="129">
        <v>4.0887698981894199E-5</v>
      </c>
      <c r="J34" s="124">
        <f t="shared" si="1"/>
        <v>2.7860741802651985</v>
      </c>
      <c r="K34" s="124">
        <f t="shared" si="2"/>
        <v>0.3095638008757895</v>
      </c>
      <c r="L34" s="124">
        <f t="shared" si="3"/>
        <v>4.960064065932466E-4</v>
      </c>
      <c r="M34" s="124">
        <f t="shared" si="4"/>
        <v>5.5111823578852836E-5</v>
      </c>
      <c r="N34" s="158"/>
      <c r="O34" s="158"/>
      <c r="P34" s="158"/>
      <c r="Q34" s="158"/>
      <c r="R34" s="66">
        <f t="shared" si="5"/>
        <v>158.29966933324991</v>
      </c>
      <c r="S34" s="66">
        <f t="shared" si="6"/>
        <v>36.419270691269347</v>
      </c>
      <c r="T34" s="66">
        <f t="shared" si="7"/>
        <v>2.81821821927981E-2</v>
      </c>
      <c r="U34" s="66">
        <f t="shared" si="8"/>
        <v>6.4837439504532744E-3</v>
      </c>
    </row>
    <row r="35" spans="1:21" ht="14.25" customHeight="1" x14ac:dyDescent="0.2">
      <c r="B35" s="78" t="s">
        <v>210</v>
      </c>
      <c r="C35" s="89" t="s">
        <v>11</v>
      </c>
      <c r="D35" s="78" t="str">
        <f t="shared" si="0"/>
        <v>Pyrithione</v>
      </c>
      <c r="E35" s="49">
        <v>1268</v>
      </c>
      <c r="F35" s="129">
        <v>69.966712341308593</v>
      </c>
      <c r="G35" s="129">
        <v>19.590679569244401</v>
      </c>
      <c r="H35" s="129">
        <v>4.0629122136682802E-3</v>
      </c>
      <c r="I35" s="129">
        <v>1.1376154305745899E-3</v>
      </c>
      <c r="J35" s="124">
        <f t="shared" si="1"/>
        <v>28.898303338364588</v>
      </c>
      <c r="K35" s="124">
        <f t="shared" si="2"/>
        <v>8.0915249816944286</v>
      </c>
      <c r="L35" s="124">
        <f t="shared" si="3"/>
        <v>1.6781018524206447E-3</v>
      </c>
      <c r="M35" s="124">
        <f t="shared" si="4"/>
        <v>4.6986852311680125E-4</v>
      </c>
      <c r="N35" s="158"/>
      <c r="O35" s="158"/>
      <c r="P35" s="158"/>
      <c r="Q35" s="158"/>
      <c r="R35" s="66">
        <f t="shared" si="5"/>
        <v>1641.9490533161697</v>
      </c>
      <c r="S35" s="66">
        <f t="shared" si="6"/>
        <v>951.94411549346216</v>
      </c>
      <c r="T35" s="66">
        <f t="shared" si="7"/>
        <v>9.5346696160263894E-2</v>
      </c>
      <c r="U35" s="66">
        <f t="shared" si="8"/>
        <v>5.5278649778447202E-2</v>
      </c>
    </row>
    <row r="36" spans="1:21" ht="14.25" customHeight="1" x14ac:dyDescent="0.2">
      <c r="B36" s="78" t="s">
        <v>211</v>
      </c>
      <c r="C36" s="89" t="s">
        <v>11</v>
      </c>
      <c r="D36" s="78" t="str">
        <f t="shared" si="0"/>
        <v>Pyrithione</v>
      </c>
      <c r="E36" s="49">
        <v>5293</v>
      </c>
      <c r="F36" s="129">
        <v>26.536448974609399</v>
      </c>
      <c r="G36" s="129">
        <v>28.097414922714201</v>
      </c>
      <c r="H36" s="129">
        <v>1.72099379673848E-3</v>
      </c>
      <c r="I36" s="129">
        <v>1.8222286420639399E-3</v>
      </c>
      <c r="J36" s="124">
        <f t="shared" si="1"/>
        <v>45.751604046451973</v>
      </c>
      <c r="K36" s="124">
        <f t="shared" si="2"/>
        <v>48.442872047532987</v>
      </c>
      <c r="L36" s="124">
        <f t="shared" si="3"/>
        <v>2.9671726925526954E-3</v>
      </c>
      <c r="M36" s="124">
        <f t="shared" si="4"/>
        <v>3.1417121180600765E-3</v>
      </c>
      <c r="N36" s="158"/>
      <c r="O36" s="158"/>
      <c r="P36" s="158"/>
      <c r="Q36" s="158"/>
      <c r="R36" s="66">
        <f t="shared" si="5"/>
        <v>2599.5229571847713</v>
      </c>
      <c r="S36" s="66">
        <f t="shared" si="6"/>
        <v>5699.1614173568214</v>
      </c>
      <c r="T36" s="66">
        <f t="shared" si="7"/>
        <v>0.16858935753140314</v>
      </c>
      <c r="U36" s="66">
        <f t="shared" si="8"/>
        <v>0.369613190360009</v>
      </c>
    </row>
    <row r="37" spans="1:21" ht="14.25" customHeight="1" x14ac:dyDescent="0.2">
      <c r="B37" s="78" t="s">
        <v>212</v>
      </c>
      <c r="C37" s="89" t="s">
        <v>11</v>
      </c>
      <c r="D37" s="78" t="str">
        <f t="shared" si="0"/>
        <v>Pyrithione</v>
      </c>
      <c r="E37" s="49">
        <v>5285</v>
      </c>
      <c r="F37" s="129">
        <v>1.6082557108998301</v>
      </c>
      <c r="G37" s="129">
        <v>3.2165114217996602</v>
      </c>
      <c r="H37" s="129">
        <v>2.28714942317426E-3</v>
      </c>
      <c r="I37" s="129">
        <v>4.5742988463485096E-3</v>
      </c>
      <c r="J37" s="124">
        <f t="shared" si="1"/>
        <v>2.7686095870050824</v>
      </c>
      <c r="K37" s="124">
        <f t="shared" si="2"/>
        <v>5.5372191740101648</v>
      </c>
      <c r="L37" s="124">
        <f t="shared" si="3"/>
        <v>3.9373240069954284E-3</v>
      </c>
      <c r="M37" s="124">
        <f t="shared" si="4"/>
        <v>7.8746480139908395E-3</v>
      </c>
      <c r="N37" s="158"/>
      <c r="O37" s="158"/>
      <c r="P37" s="158"/>
      <c r="Q37" s="158"/>
      <c r="R37" s="66">
        <f t="shared" si="5"/>
        <v>157.30736289801604</v>
      </c>
      <c r="S37" s="66">
        <f t="shared" si="6"/>
        <v>651.43754988354874</v>
      </c>
      <c r="T37" s="66">
        <f t="shared" si="7"/>
        <v>0.2237115913065584</v>
      </c>
      <c r="U37" s="66">
        <f t="shared" si="8"/>
        <v>0.92642917811656933</v>
      </c>
    </row>
    <row r="38" spans="1:21" x14ac:dyDescent="0.2">
      <c r="B38" s="154" t="s">
        <v>161</v>
      </c>
      <c r="C38" s="154"/>
      <c r="D38" s="154"/>
      <c r="E38" s="128"/>
      <c r="F38" s="128"/>
      <c r="G38" s="128"/>
      <c r="H38" s="128"/>
      <c r="I38" s="128"/>
      <c r="J38" s="67">
        <f>MEDIAN($J$21:$J$37)</f>
        <v>5.4639180064585577</v>
      </c>
      <c r="K38" s="67">
        <f>MEDIAN($K$21:$K$37)</f>
        <v>11.089095992827637</v>
      </c>
      <c r="L38" s="67">
        <f>MEDIAN($L$21:$L$37)</f>
        <v>2.9671726925526954E-3</v>
      </c>
      <c r="M38" s="67">
        <f>MEDIAN($M$21:$M$37)</f>
        <v>3.8703197094590732E-3</v>
      </c>
      <c r="N38" s="67"/>
      <c r="O38" s="67"/>
      <c r="P38" s="67"/>
      <c r="Q38" s="67"/>
      <c r="R38" s="67">
        <f>MEDIAN($R$21:$R$37)</f>
        <v>310.44988673059987</v>
      </c>
      <c r="S38" s="67">
        <f>MEDIAN($S$21:$S$37)</f>
        <v>1304.5995285679573</v>
      </c>
      <c r="T38" s="67">
        <f>MEDIAN($T$21:$T$37)</f>
        <v>0.16858935753140314</v>
      </c>
      <c r="U38" s="67">
        <f>MEDIAN($U$21:$U$37)</f>
        <v>0.4553317305245968</v>
      </c>
    </row>
    <row r="39" spans="1:21" x14ac:dyDescent="0.2">
      <c r="B39" s="154" t="s">
        <v>160</v>
      </c>
      <c r="C39" s="154"/>
      <c r="D39" s="154"/>
      <c r="E39" s="123"/>
      <c r="F39" s="123"/>
      <c r="G39" s="123"/>
      <c r="H39" s="123"/>
      <c r="I39" s="123"/>
      <c r="J39" s="67">
        <f>AVERAGE($J$21:$J$37)</f>
        <v>14.091195920551158</v>
      </c>
      <c r="K39" s="67">
        <f>AVERAGE($K$21:$K$37)</f>
        <v>114.97555575799102</v>
      </c>
      <c r="L39" s="67">
        <f>AVERAGE($L$21:$L$37)</f>
        <v>3.3903417585875546E-3</v>
      </c>
      <c r="M39" s="67">
        <f>AVERAGE($M$21:$M$37)</f>
        <v>3.8218068833992438E-2</v>
      </c>
      <c r="N39" s="67"/>
      <c r="O39" s="67"/>
      <c r="P39" s="67"/>
      <c r="Q39" s="67"/>
      <c r="R39" s="67">
        <f>AVERAGE($R$21:$R$37)</f>
        <v>800.63613184949747</v>
      </c>
      <c r="S39" s="67">
        <f>AVERAGE($S$21:$S$37)</f>
        <v>13526.535971528352</v>
      </c>
      <c r="T39" s="67">
        <f>AVERAGE($T$21:$T$37)</f>
        <v>0.19263305446520193</v>
      </c>
      <c r="U39" s="67">
        <f>AVERAGE($U$21:$U$37)</f>
        <v>4.4962433922344038</v>
      </c>
    </row>
    <row r="40" spans="1:21" x14ac:dyDescent="0.2">
      <c r="B40" s="154" t="s">
        <v>12</v>
      </c>
      <c r="C40" s="154"/>
      <c r="D40" s="154"/>
      <c r="E40" s="123"/>
      <c r="F40" s="123"/>
      <c r="G40" s="123"/>
      <c r="H40" s="123"/>
      <c r="I40" s="123"/>
      <c r="J40" s="67">
        <f>MAX($J$21:$J$37)</f>
        <v>45.751604046451973</v>
      </c>
      <c r="K40" s="67">
        <f>MAX($K$21:$K$37)</f>
        <v>1499.6960332541196</v>
      </c>
      <c r="L40" s="67">
        <f>MAX($L$21:$L$37)</f>
        <v>9.8554928699058596E-3</v>
      </c>
      <c r="M40" s="67">
        <f>MAX($M$21:$M$37)</f>
        <v>0.53117201789077495</v>
      </c>
      <c r="N40" s="67"/>
      <c r="O40" s="67"/>
      <c r="P40" s="67"/>
      <c r="Q40" s="67"/>
      <c r="R40" s="67">
        <f>MAX($R$21:$R$37)</f>
        <v>2599.5229571847713</v>
      </c>
      <c r="S40" s="67">
        <f>MAX($S$21:$S$37)</f>
        <v>176434.82744166112</v>
      </c>
      <c r="T40" s="67">
        <f>MAX($T$21:$T$37)</f>
        <v>0.55997118579010563</v>
      </c>
      <c r="U40" s="67">
        <f>MAX($U$21:$U$37)</f>
        <v>62.490825634208811</v>
      </c>
    </row>
    <row r="41" spans="1:21" x14ac:dyDescent="0.2">
      <c r="B41" s="154" t="s">
        <v>13</v>
      </c>
      <c r="C41" s="154"/>
      <c r="D41" s="154"/>
      <c r="E41" s="123"/>
      <c r="F41" s="123"/>
      <c r="G41" s="123"/>
      <c r="H41" s="123"/>
      <c r="I41" s="123"/>
      <c r="J41" s="67">
        <f>MIN($J$21:$J$37)</f>
        <v>9.669882485321428E-2</v>
      </c>
      <c r="K41" s="67">
        <f>MIN($K$21:$K$37)</f>
        <v>2.3023531204770568E-2</v>
      </c>
      <c r="L41" s="67">
        <f>MIN($L$21:$L$37)</f>
        <v>9.3699119724398674E-5</v>
      </c>
      <c r="M41" s="67">
        <f>MIN($M$21:$M$37)</f>
        <v>2.2309315852461654E-5</v>
      </c>
      <c r="N41" s="67"/>
      <c r="O41" s="67"/>
      <c r="P41" s="67"/>
      <c r="Q41" s="67"/>
      <c r="R41" s="67">
        <f>MIN($R$21:$R$37)</f>
        <v>5.4942514121144477</v>
      </c>
      <c r="S41" s="67">
        <f>MIN($S$21:$S$37)</f>
        <v>2.7086507299730078</v>
      </c>
      <c r="T41" s="67">
        <f>MIN($T$21:$T$37)</f>
        <v>5.3238136207044697E-3</v>
      </c>
      <c r="U41" s="67">
        <f>MIN($U$21:$U$37)</f>
        <v>2.6246253944072532E-3</v>
      </c>
    </row>
    <row r="42" spans="1:21" x14ac:dyDescent="0.2">
      <c r="A42" s="74"/>
      <c r="B42" s="12"/>
      <c r="C42" s="12"/>
      <c r="D42" s="123" t="s">
        <v>84</v>
      </c>
      <c r="E42" s="12"/>
      <c r="F42" s="12"/>
      <c r="G42" s="12"/>
      <c r="H42" s="12"/>
      <c r="I42" s="12"/>
      <c r="J42" s="67">
        <f>_xlfn.PERCENTILE.INC(J$21:J$37,0.9)</f>
        <v>36.667979850096295</v>
      </c>
      <c r="K42" s="67">
        <f>_xlfn.PERCENTILE.INC(K$21:K$37,0.9)</f>
        <v>116.56501725834342</v>
      </c>
      <c r="L42" s="67">
        <f>_xlfn.PERCENTILE.INC(L$21:L$37,0.9)</f>
        <v>6.9729075908755442E-3</v>
      </c>
      <c r="M42" s="67">
        <f>_xlfn.PERCENTILE.INC(M$21:M$37,0.9)</f>
        <v>2.5959603185950225E-2</v>
      </c>
      <c r="N42" s="67"/>
      <c r="O42" s="67"/>
      <c r="P42" s="67"/>
      <c r="Q42" s="67"/>
      <c r="R42" s="67">
        <f>_xlfn.PERCENTILE.INC(R$21:R$37,0.9)</f>
        <v>2083.4079460281987</v>
      </c>
      <c r="S42" s="67">
        <f>_xlfn.PERCENTILE.INC(S$21:S$37,0.9)</f>
        <v>13713.531442158048</v>
      </c>
      <c r="T42" s="67">
        <f>_xlfn.PERCENTILE.INC(T$21:T$37,0.9)</f>
        <v>0.39618793129974678</v>
      </c>
      <c r="U42" s="67">
        <f>_xlfn.PERCENTILE.INC(U$21:U$37,0.9)</f>
        <v>3.0540709630529674</v>
      </c>
    </row>
    <row r="43" spans="1:21" x14ac:dyDescent="0.2">
      <c r="B43" s="12"/>
      <c r="C43" s="12"/>
      <c r="D43" s="123" t="s">
        <v>85</v>
      </c>
      <c r="E43" s="12"/>
      <c r="F43" s="12"/>
      <c r="G43" s="12"/>
      <c r="H43" s="12"/>
      <c r="I43" s="12"/>
      <c r="J43" s="67">
        <f>_xlfn.PERCENTILE.INC(J$21:J$37,0.8)</f>
        <v>28.61484244498585</v>
      </c>
      <c r="K43" s="67">
        <f>_xlfn.PERCENTILE.INC(K$21:K$37,0.8)</f>
        <v>68.90540248743423</v>
      </c>
      <c r="L43" s="67">
        <f>_xlfn.PERCENTILE.INC(L$21:L$37,0.8)</f>
        <v>5.0845901020361512E-3</v>
      </c>
      <c r="M43" s="67">
        <f>_xlfn.PERCENTILE.INC(M$21:M$37,0.8)</f>
        <v>1.8546337354286142E-2</v>
      </c>
      <c r="N43" s="67"/>
      <c r="O43" s="67"/>
      <c r="P43" s="67"/>
      <c r="Q43" s="67"/>
      <c r="R43" s="67">
        <f>_xlfn.PERCENTILE.INC(R$21:R$37,0.8)</f>
        <v>1625.8433207378323</v>
      </c>
      <c r="S43" s="67">
        <f>_xlfn.PERCENTILE.INC(S$21:S$37,0.8)</f>
        <v>8106.5179396981439</v>
      </c>
      <c r="T43" s="67">
        <f>_xlfn.PERCENTILE.INC(T$21:T$37,0.8)</f>
        <v>0.28889716488841766</v>
      </c>
      <c r="U43" s="67">
        <f>_xlfn.PERCENTILE.INC(U$21:U$37,0.8)</f>
        <v>2.1819220416807221</v>
      </c>
    </row>
    <row r="44" spans="1:21" x14ac:dyDescent="0.2">
      <c r="B44" s="12"/>
      <c r="C44" s="12"/>
      <c r="D44" s="123" t="s">
        <v>86</v>
      </c>
      <c r="E44" s="12"/>
      <c r="F44" s="12"/>
      <c r="G44" s="12"/>
      <c r="H44" s="12"/>
      <c r="I44" s="12"/>
      <c r="J44" s="67">
        <f>_xlfn.PERCENTILE.INC(J$21:J$37,0.75)</f>
        <v>27.480998871470891</v>
      </c>
      <c r="K44" s="67">
        <f>_xlfn.PERCENTILE.INC(K$21:K$37,0.75)</f>
        <v>48.442872047532987</v>
      </c>
      <c r="L44" s="67">
        <f>_xlfn.PERCENTILE.INC(L$21:L$37,0.75)</f>
        <v>4.4686817730176936E-3</v>
      </c>
      <c r="M44" s="67">
        <f>_xlfn.PERCENTILE.INC(M$21:M$37,0.75)</f>
        <v>9.3390467727542444E-3</v>
      </c>
      <c r="N44" s="67"/>
      <c r="O44" s="67"/>
      <c r="P44" s="67"/>
      <c r="Q44" s="67"/>
      <c r="R44" s="67">
        <f>_xlfn.PERCENTILE.INC(R$21:R$37,0.75)</f>
        <v>1561.4203904244823</v>
      </c>
      <c r="S44" s="67">
        <f>_xlfn.PERCENTILE.INC(S$21:S$37,0.75)</f>
        <v>5699.1614173568214</v>
      </c>
      <c r="T44" s="67">
        <f>_xlfn.PERCENTILE.INC(T$21:T$37,0.75)</f>
        <v>0.25390237346691441</v>
      </c>
      <c r="U44" s="67">
        <f>_xlfn.PERCENTILE.INC(U$21:U$37,0.75)</f>
        <v>1.0987113850299111</v>
      </c>
    </row>
    <row r="45" spans="1:21" x14ac:dyDescent="0.2">
      <c r="B45" s="12"/>
      <c r="C45" s="12"/>
      <c r="D45" s="123" t="s">
        <v>87</v>
      </c>
      <c r="E45" s="12"/>
      <c r="F45" s="12"/>
      <c r="G45" s="12"/>
      <c r="H45" s="12"/>
      <c r="I45" s="12"/>
      <c r="J45" s="67">
        <f>_xlfn.PERCENTILE.INC(J$21:J$37,0.5)</f>
        <v>5.4639180064585577</v>
      </c>
      <c r="K45" s="67">
        <f>_xlfn.PERCENTILE.INC(K$21:K$37,0.5)</f>
        <v>11.089095992827637</v>
      </c>
      <c r="L45" s="67">
        <f>_xlfn.PERCENTILE.INC(L$21:L$37,0.5)</f>
        <v>2.9671726925526954E-3</v>
      </c>
      <c r="M45" s="67">
        <f>_xlfn.PERCENTILE.INC(M$21:M$37,0.5)</f>
        <v>3.8703197094590732E-3</v>
      </c>
      <c r="N45" s="67"/>
      <c r="O45" s="67"/>
      <c r="P45" s="67"/>
      <c r="Q45" s="67"/>
      <c r="R45" s="67">
        <f>_xlfn.PERCENTILE.INC(R$21:R$37,0.5)</f>
        <v>310.44988673059987</v>
      </c>
      <c r="S45" s="67">
        <f>_xlfn.PERCENTILE.INC(S$21:S$37,0.5)</f>
        <v>1304.5995285679573</v>
      </c>
      <c r="T45" s="67">
        <f>_xlfn.PERCENTILE.INC(T$21:T$37,0.5)</f>
        <v>0.16858935753140314</v>
      </c>
      <c r="U45" s="67">
        <f>_xlfn.PERCENTILE.INC(U$21:U$37,0.5)</f>
        <v>0.4553317305245968</v>
      </c>
    </row>
    <row r="46" spans="1:21" x14ac:dyDescent="0.2">
      <c r="B46" s="12"/>
      <c r="C46" s="12"/>
      <c r="D46" s="123" t="s">
        <v>88</v>
      </c>
      <c r="E46" s="12"/>
      <c r="F46" s="12"/>
      <c r="G46" s="12"/>
      <c r="H46" s="12"/>
      <c r="I46" s="12"/>
      <c r="J46" s="67">
        <f>_xlfn.PERCENTILE.INC(J$21:J$37,0.25)</f>
        <v>2.7860741802651985</v>
      </c>
      <c r="K46" s="67">
        <f>_xlfn.PERCENTILE.INC(K$21:K$37,0.25)</f>
        <v>5.5372191740101648</v>
      </c>
      <c r="L46" s="67">
        <f>_xlfn.PERCENTILE.INC(L$21:L$37,0.25)</f>
        <v>1.238502305786068E-3</v>
      </c>
      <c r="M46" s="67">
        <f>_xlfn.PERCENTILE.INC(M$21:M$37,0.25)</f>
        <v>1.3143182298783231E-3</v>
      </c>
      <c r="N46" s="67"/>
      <c r="O46" s="67"/>
      <c r="P46" s="67"/>
      <c r="Q46" s="67"/>
      <c r="R46" s="67">
        <f>_xlfn.PERCENTILE.INC(R$21:R$37,0.25)</f>
        <v>158.29966933324991</v>
      </c>
      <c r="S46" s="67">
        <f>_xlfn.PERCENTILE.INC(S$21:S$37,0.25)</f>
        <v>651.43754988354874</v>
      </c>
      <c r="T46" s="67">
        <f>_xlfn.PERCENTILE.INC(T$21:T$37,0.25)</f>
        <v>7.0369449192390215E-2</v>
      </c>
      <c r="U46" s="67">
        <f>_xlfn.PERCENTILE.INC(U$21:U$37,0.25)</f>
        <v>0.15462567410333211</v>
      </c>
    </row>
    <row r="47" spans="1:21" x14ac:dyDescent="0.2">
      <c r="B47" s="12"/>
      <c r="C47" s="12"/>
      <c r="D47" s="123" t="s">
        <v>89</v>
      </c>
      <c r="E47" s="12"/>
      <c r="F47" s="12"/>
      <c r="G47" s="12"/>
      <c r="H47" s="12"/>
      <c r="I47" s="12"/>
      <c r="J47" s="67">
        <f>_xlfn.PERCENTILE.INC(J$21:J$37,0.1)</f>
        <v>2.4952930035804677</v>
      </c>
      <c r="K47" s="67">
        <f>_xlfn.PERCENTILE.INC(K$21:K$37,0.1)</f>
        <v>0.7542776081428475</v>
      </c>
      <c r="L47" s="67">
        <f>_xlfn.PERCENTILE.INC(L$21:L$37,0.1)</f>
        <v>4.7965547389563253E-4</v>
      </c>
      <c r="M47" s="67">
        <f>_xlfn.PERCENTILE.INC(M$21:M$37,0.1)</f>
        <v>3.039658433016219E-4</v>
      </c>
      <c r="N47" s="67"/>
      <c r="O47" s="67"/>
      <c r="P47" s="67"/>
      <c r="Q47" s="67"/>
      <c r="R47" s="67">
        <f>_xlfn.PERCENTILE.INC(R$21:R$37,0.1)</f>
        <v>141.77801156707201</v>
      </c>
      <c r="S47" s="67">
        <f>_xlfn.PERCENTILE.INC(S$21:S$37,0.1)</f>
        <v>88.738542134452629</v>
      </c>
      <c r="T47" s="67">
        <f>_xlfn.PERCENTILE.INC(T$21:T$37,0.1)</f>
        <v>2.725315192588821E-2</v>
      </c>
      <c r="U47" s="67">
        <f>_xlfn.PERCENTILE.INC(U$21:U$37,0.1)</f>
        <v>3.5760687447249632E-2</v>
      </c>
    </row>
  </sheetData>
  <mergeCells count="13">
    <mergeCell ref="B40:D40"/>
    <mergeCell ref="B41:D41"/>
    <mergeCell ref="B39:D39"/>
    <mergeCell ref="B2:Q2"/>
    <mergeCell ref="B4:G4"/>
    <mergeCell ref="J4:P4"/>
    <mergeCell ref="B13:G13"/>
    <mergeCell ref="B19:U19"/>
    <mergeCell ref="N21:N37"/>
    <mergeCell ref="O21:O37"/>
    <mergeCell ref="P21:P37"/>
    <mergeCell ref="Q21:Q37"/>
    <mergeCell ref="B38:D38"/>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6">
    <tabColor rgb="FF002060"/>
  </sheetPr>
  <dimension ref="B2:M39"/>
  <sheetViews>
    <sheetView workbookViewId="0"/>
  </sheetViews>
  <sheetFormatPr baseColWidth="10" defaultColWidth="9" defaultRowHeight="12.75" x14ac:dyDescent="0.2"/>
  <cols>
    <col min="1" max="1" width="9" style="1"/>
    <col min="2" max="2" width="41.75" style="1" customWidth="1"/>
    <col min="3" max="3" width="19.875" style="1" customWidth="1"/>
    <col min="4" max="4" width="13.375" style="1" customWidth="1"/>
    <col min="5" max="16384" width="9" style="1"/>
  </cols>
  <sheetData>
    <row r="2" spans="2:13" ht="21" thickBot="1" x14ac:dyDescent="0.35">
      <c r="B2" s="155" t="s">
        <v>90</v>
      </c>
      <c r="C2" s="155"/>
      <c r="D2" s="155"/>
      <c r="E2" s="155"/>
      <c r="F2" s="155"/>
      <c r="G2" s="155"/>
      <c r="H2" s="155"/>
      <c r="I2" s="155"/>
      <c r="J2" s="155"/>
      <c r="K2" s="155"/>
      <c r="L2" s="155"/>
      <c r="M2" s="155"/>
    </row>
    <row r="3" spans="2:13" ht="13.5" thickTop="1" x14ac:dyDescent="0.2">
      <c r="B3" s="113" t="str">
        <f>Tooltype</f>
        <v>Calculator tool for the German scenario for inland water marinas</v>
      </c>
    </row>
    <row r="4" spans="2:13" ht="18" thickBot="1" x14ac:dyDescent="0.35">
      <c r="B4" s="6" t="s">
        <v>0</v>
      </c>
    </row>
    <row r="5" spans="2:13" ht="13.5" thickTop="1" x14ac:dyDescent="0.2"/>
    <row r="6" spans="2:13" x14ac:dyDescent="0.2">
      <c r="B6" s="1" t="s">
        <v>1</v>
      </c>
      <c r="C6" s="50" t="s">
        <v>117</v>
      </c>
    </row>
    <row r="9" spans="2:13" x14ac:dyDescent="0.2">
      <c r="B9" s="42"/>
    </row>
    <row r="12" spans="2:13" x14ac:dyDescent="0.2">
      <c r="D12" s="2"/>
    </row>
    <row r="14" spans="2:13" ht="15" x14ac:dyDescent="0.25">
      <c r="B14" s="3"/>
    </row>
    <row r="16" spans="2:13" x14ac:dyDescent="0.2">
      <c r="D16" s="2"/>
    </row>
    <row r="18" spans="2:2" ht="15" x14ac:dyDescent="0.25">
      <c r="B18" s="3"/>
    </row>
    <row r="19" spans="2:2" ht="15" x14ac:dyDescent="0.25">
      <c r="B19" s="3"/>
    </row>
    <row r="20" spans="2:2" ht="15" x14ac:dyDescent="0.25">
      <c r="B20" s="3"/>
    </row>
    <row r="21" spans="2:2" ht="15" x14ac:dyDescent="0.25">
      <c r="B21" s="3"/>
    </row>
    <row r="27" spans="2:2" ht="15" x14ac:dyDescent="0.25">
      <c r="B27" s="3"/>
    </row>
    <row r="33" spans="2:4" ht="15" x14ac:dyDescent="0.25">
      <c r="B33" s="3"/>
    </row>
    <row r="34" spans="2:4" x14ac:dyDescent="0.2">
      <c r="B34" s="4"/>
    </row>
    <row r="35" spans="2:4" x14ac:dyDescent="0.2">
      <c r="B35" s="4"/>
    </row>
    <row r="36" spans="2:4" x14ac:dyDescent="0.2">
      <c r="B36" s="4"/>
      <c r="D36" s="2"/>
    </row>
    <row r="38" spans="2:4" ht="15" x14ac:dyDescent="0.25">
      <c r="B38" s="3"/>
    </row>
    <row r="39" spans="2:4" ht="15" x14ac:dyDescent="0.25">
      <c r="D39" s="5"/>
    </row>
  </sheetData>
  <mergeCells count="1">
    <mergeCell ref="B2:M2"/>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002060"/>
  </sheetPr>
  <dimension ref="B2:M39"/>
  <sheetViews>
    <sheetView workbookViewId="0"/>
  </sheetViews>
  <sheetFormatPr baseColWidth="10" defaultColWidth="9" defaultRowHeight="12.75" x14ac:dyDescent="0.2"/>
  <cols>
    <col min="1" max="1" width="9" style="1"/>
    <col min="2" max="2" width="41.75" style="1" customWidth="1"/>
    <col min="3" max="3" width="19.875" style="1" customWidth="1"/>
    <col min="4" max="4" width="13.375" style="1" customWidth="1"/>
    <col min="5" max="16384" width="9" style="1"/>
  </cols>
  <sheetData>
    <row r="2" spans="2:13" ht="21" thickBot="1" x14ac:dyDescent="0.35">
      <c r="B2" s="155" t="s">
        <v>90</v>
      </c>
      <c r="C2" s="155"/>
      <c r="D2" s="155"/>
      <c r="E2" s="155"/>
      <c r="F2" s="155"/>
      <c r="G2" s="155"/>
      <c r="H2" s="155"/>
      <c r="I2" s="155"/>
      <c r="J2" s="155"/>
      <c r="K2" s="155"/>
      <c r="L2" s="155"/>
      <c r="M2" s="155"/>
    </row>
    <row r="3" spans="2:13" ht="13.5" thickTop="1" x14ac:dyDescent="0.2">
      <c r="B3" s="113" t="str">
        <f>Tooltype</f>
        <v>Calculator tool for the German scenario for inland water marinas</v>
      </c>
    </row>
    <row r="4" spans="2:13" ht="18" thickBot="1" x14ac:dyDescent="0.35">
      <c r="B4" s="6" t="s">
        <v>0</v>
      </c>
    </row>
    <row r="5" spans="2:13" ht="13.5" thickTop="1" x14ac:dyDescent="0.2"/>
    <row r="6" spans="2:13" x14ac:dyDescent="0.2">
      <c r="B6" s="1" t="s">
        <v>1</v>
      </c>
      <c r="C6" s="50" t="s">
        <v>147</v>
      </c>
    </row>
    <row r="9" spans="2:13" x14ac:dyDescent="0.2">
      <c r="B9" s="42"/>
    </row>
    <row r="12" spans="2:13" x14ac:dyDescent="0.2">
      <c r="D12" s="2"/>
    </row>
    <row r="14" spans="2:13" ht="15" x14ac:dyDescent="0.25">
      <c r="B14" s="3"/>
    </row>
    <row r="16" spans="2:13" x14ac:dyDescent="0.2">
      <c r="D16" s="2"/>
    </row>
    <row r="18" spans="2:2" ht="15" x14ac:dyDescent="0.25">
      <c r="B18" s="3"/>
    </row>
    <row r="19" spans="2:2" ht="15" x14ac:dyDescent="0.25">
      <c r="B19" s="3"/>
    </row>
    <row r="20" spans="2:2" ht="15" x14ac:dyDescent="0.25">
      <c r="B20" s="3"/>
    </row>
    <row r="21" spans="2:2" ht="15" x14ac:dyDescent="0.25">
      <c r="B21" s="3"/>
    </row>
    <row r="27" spans="2:2" ht="15" x14ac:dyDescent="0.25">
      <c r="B27" s="3"/>
    </row>
    <row r="33" spans="2:4" ht="15" x14ac:dyDescent="0.25">
      <c r="B33" s="3"/>
    </row>
    <row r="34" spans="2:4" x14ac:dyDescent="0.2">
      <c r="B34" s="4"/>
    </row>
    <row r="35" spans="2:4" x14ac:dyDescent="0.2">
      <c r="B35" s="4"/>
    </row>
    <row r="36" spans="2:4" x14ac:dyDescent="0.2">
      <c r="B36" s="4"/>
      <c r="D36" s="2"/>
    </row>
    <row r="38" spans="2:4" ht="15" x14ac:dyDescent="0.25">
      <c r="B38" s="3"/>
    </row>
    <row r="39" spans="2:4" ht="15" x14ac:dyDescent="0.25">
      <c r="D39" s="5"/>
    </row>
  </sheetData>
  <mergeCells count="1">
    <mergeCell ref="B2:M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C000"/>
  </sheetPr>
  <dimension ref="B2:Z27"/>
  <sheetViews>
    <sheetView zoomScale="90" zoomScaleNormal="90" workbookViewId="0">
      <selection activeCell="B20" sqref="B20:Z20"/>
    </sheetView>
  </sheetViews>
  <sheetFormatPr baseColWidth="10" defaultColWidth="9" defaultRowHeight="12.75" x14ac:dyDescent="0.2"/>
  <cols>
    <col min="1" max="1" width="9" style="1"/>
    <col min="2" max="2" width="9" style="1" customWidth="1"/>
    <col min="3" max="16384" width="9" style="1"/>
  </cols>
  <sheetData>
    <row r="2" spans="2:26" ht="21" customHeight="1" thickBot="1" x14ac:dyDescent="0.25">
      <c r="B2" s="139" t="s">
        <v>106</v>
      </c>
      <c r="C2" s="139"/>
      <c r="D2" s="139"/>
      <c r="E2" s="139"/>
      <c r="F2" s="139"/>
      <c r="G2" s="139"/>
      <c r="H2" s="139"/>
      <c r="I2" s="139"/>
      <c r="J2" s="139"/>
    </row>
    <row r="3" spans="2:26" ht="13.5" thickTop="1" x14ac:dyDescent="0.2"/>
    <row r="5" spans="2:26" ht="27.95" customHeight="1" x14ac:dyDescent="0.2">
      <c r="B5" s="138" t="s">
        <v>188</v>
      </c>
      <c r="C5" s="138"/>
      <c r="D5" s="138"/>
      <c r="E5" s="138"/>
      <c r="F5" s="138"/>
      <c r="G5" s="138"/>
      <c r="H5" s="138"/>
      <c r="I5" s="138"/>
      <c r="J5" s="138"/>
      <c r="K5" s="138"/>
      <c r="L5" s="138"/>
      <c r="M5" s="138"/>
      <c r="N5" s="138"/>
      <c r="O5" s="138"/>
      <c r="P5" s="138"/>
      <c r="Q5" s="138"/>
      <c r="R5" s="138"/>
      <c r="S5" s="138"/>
      <c r="T5" s="138"/>
      <c r="U5" s="138"/>
      <c r="V5" s="138"/>
      <c r="W5" s="138"/>
      <c r="X5" s="138"/>
      <c r="Y5" s="138"/>
      <c r="Z5" s="138"/>
    </row>
    <row r="6" spans="2:26" x14ac:dyDescent="0.2">
      <c r="B6" s="138"/>
      <c r="C6" s="138"/>
      <c r="D6" s="138"/>
      <c r="E6" s="138"/>
      <c r="F6" s="138"/>
      <c r="G6" s="138"/>
      <c r="H6" s="138"/>
      <c r="I6" s="138"/>
      <c r="J6" s="138"/>
      <c r="K6" s="138"/>
      <c r="L6" s="138"/>
      <c r="M6" s="138"/>
      <c r="N6" s="138"/>
      <c r="O6" s="138"/>
      <c r="P6" s="138"/>
      <c r="Q6" s="138"/>
      <c r="R6" s="138"/>
      <c r="S6" s="138"/>
      <c r="T6" s="138"/>
      <c r="U6" s="138"/>
      <c r="V6" s="138"/>
      <c r="W6" s="138"/>
      <c r="X6" s="138"/>
      <c r="Y6" s="138"/>
      <c r="Z6" s="138"/>
    </row>
    <row r="7" spans="2:26" ht="12.75" customHeight="1" x14ac:dyDescent="0.2">
      <c r="B7" s="138" t="s">
        <v>148</v>
      </c>
      <c r="C7" s="138"/>
      <c r="D7" s="138"/>
      <c r="E7" s="138"/>
      <c r="F7" s="138"/>
      <c r="G7" s="138"/>
      <c r="H7" s="138"/>
      <c r="I7" s="138"/>
      <c r="J7" s="138"/>
      <c r="K7" s="138"/>
      <c r="L7" s="138"/>
      <c r="M7" s="138"/>
      <c r="N7" s="138"/>
      <c r="O7" s="138"/>
      <c r="P7" s="138"/>
      <c r="Q7" s="138"/>
      <c r="R7" s="138"/>
      <c r="S7" s="138"/>
      <c r="T7" s="138"/>
      <c r="U7" s="138"/>
      <c r="V7" s="138"/>
      <c r="W7" s="138"/>
      <c r="X7" s="138"/>
      <c r="Y7" s="138"/>
      <c r="Z7" s="138"/>
    </row>
    <row r="8" spans="2:26" x14ac:dyDescent="0.2">
      <c r="B8" s="138"/>
      <c r="C8" s="138"/>
      <c r="D8" s="138"/>
      <c r="E8" s="138"/>
      <c r="F8" s="138"/>
      <c r="G8" s="138"/>
      <c r="H8" s="138"/>
      <c r="I8" s="138"/>
      <c r="J8" s="138"/>
      <c r="K8" s="138"/>
      <c r="L8" s="138"/>
      <c r="M8" s="138"/>
      <c r="N8" s="138"/>
      <c r="O8" s="138"/>
      <c r="P8" s="138"/>
      <c r="Q8" s="138"/>
      <c r="R8" s="138"/>
      <c r="S8" s="138"/>
      <c r="T8" s="138"/>
      <c r="U8" s="138"/>
      <c r="V8" s="138"/>
      <c r="W8" s="138"/>
      <c r="X8" s="138"/>
      <c r="Y8" s="138"/>
      <c r="Z8" s="138"/>
    </row>
    <row r="9" spans="2:26" ht="12.75" customHeight="1" x14ac:dyDescent="0.2">
      <c r="B9" s="138" t="s">
        <v>149</v>
      </c>
      <c r="C9" s="138"/>
      <c r="D9" s="138"/>
      <c r="E9" s="138"/>
      <c r="F9" s="138"/>
      <c r="G9" s="138"/>
      <c r="H9" s="138"/>
      <c r="I9" s="138"/>
      <c r="J9" s="138"/>
      <c r="K9" s="138"/>
      <c r="L9" s="138"/>
      <c r="M9" s="138"/>
      <c r="N9" s="138"/>
      <c r="O9" s="138"/>
      <c r="P9" s="138"/>
      <c r="Q9" s="138"/>
      <c r="R9" s="138"/>
      <c r="S9" s="138"/>
      <c r="T9" s="138"/>
      <c r="U9" s="138"/>
      <c r="V9" s="138"/>
      <c r="W9" s="138"/>
      <c r="X9" s="138"/>
      <c r="Y9" s="138"/>
      <c r="Z9" s="138"/>
    </row>
    <row r="10" spans="2:26" x14ac:dyDescent="0.2">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row>
    <row r="11" spans="2:26" ht="27.95" customHeight="1" x14ac:dyDescent="0.2">
      <c r="B11" s="138" t="s">
        <v>157</v>
      </c>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row>
    <row r="12" spans="2:26" x14ac:dyDescent="0.2">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row>
    <row r="13" spans="2:26" ht="27.95" customHeight="1" x14ac:dyDescent="0.2">
      <c r="B13" s="138" t="s">
        <v>189</v>
      </c>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row>
    <row r="14" spans="2:26" x14ac:dyDescent="0.2">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row>
    <row r="15" spans="2:26" ht="27.95" customHeight="1" x14ac:dyDescent="0.2">
      <c r="B15" s="138" t="s">
        <v>158</v>
      </c>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row>
    <row r="16" spans="2:26" x14ac:dyDescent="0.2">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row>
    <row r="17" spans="2:26" ht="27.95" customHeight="1" x14ac:dyDescent="0.2">
      <c r="B17" s="138" t="s">
        <v>150</v>
      </c>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row>
    <row r="18" spans="2:26" x14ac:dyDescent="0.2">
      <c r="B18" s="138"/>
      <c r="C18" s="138"/>
      <c r="D18" s="138"/>
      <c r="E18" s="138"/>
      <c r="F18" s="138"/>
      <c r="G18" s="138"/>
      <c r="H18" s="138"/>
      <c r="I18" s="138"/>
      <c r="J18" s="138"/>
      <c r="K18" s="138"/>
      <c r="L18" s="138"/>
      <c r="M18" s="138"/>
      <c r="N18" s="138"/>
      <c r="O18" s="138"/>
      <c r="P18" s="138"/>
      <c r="Q18" s="138"/>
      <c r="R18" s="138"/>
      <c r="S18" s="138"/>
      <c r="T18" s="138"/>
      <c r="U18" s="138"/>
      <c r="V18" s="138"/>
      <c r="W18" s="138"/>
      <c r="X18" s="138"/>
      <c r="Y18" s="138"/>
      <c r="Z18" s="138"/>
    </row>
    <row r="19" spans="2:26" ht="27.95" customHeight="1" x14ac:dyDescent="0.2">
      <c r="B19" s="138" t="s">
        <v>151</v>
      </c>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row>
    <row r="20" spans="2:26" x14ac:dyDescent="0.2">
      <c r="B20" s="138"/>
      <c r="C20" s="138"/>
      <c r="D20" s="138"/>
      <c r="E20" s="138"/>
      <c r="F20" s="138"/>
      <c r="G20" s="138"/>
      <c r="H20" s="138"/>
      <c r="I20" s="138"/>
      <c r="J20" s="138"/>
      <c r="K20" s="138"/>
      <c r="L20" s="138"/>
      <c r="M20" s="138"/>
      <c r="N20" s="138"/>
      <c r="O20" s="138"/>
      <c r="P20" s="138"/>
      <c r="Q20" s="138"/>
      <c r="R20" s="138"/>
      <c r="S20" s="138"/>
      <c r="T20" s="138"/>
      <c r="U20" s="138"/>
      <c r="V20" s="138"/>
      <c r="W20" s="138"/>
      <c r="X20" s="138"/>
      <c r="Y20" s="138"/>
      <c r="Z20" s="138"/>
    </row>
    <row r="21" spans="2:26" ht="27.95" customHeight="1" x14ac:dyDescent="0.2">
      <c r="B21" s="138" t="s">
        <v>152</v>
      </c>
      <c r="C21" s="138"/>
      <c r="D21" s="138"/>
      <c r="E21" s="138"/>
      <c r="F21" s="138"/>
      <c r="G21" s="138"/>
      <c r="H21" s="138"/>
      <c r="I21" s="138"/>
      <c r="J21" s="138"/>
      <c r="K21" s="138"/>
      <c r="L21" s="138"/>
      <c r="M21" s="138"/>
      <c r="N21" s="138"/>
      <c r="O21" s="138"/>
      <c r="P21" s="138"/>
      <c r="Q21" s="138"/>
      <c r="R21" s="138"/>
      <c r="S21" s="138"/>
      <c r="T21" s="138"/>
      <c r="U21" s="138"/>
      <c r="V21" s="138"/>
      <c r="W21" s="138"/>
      <c r="X21" s="138"/>
      <c r="Y21" s="138"/>
      <c r="Z21" s="138"/>
    </row>
    <row r="22" spans="2:26" x14ac:dyDescent="0.2">
      <c r="B22" s="138"/>
      <c r="C22" s="138"/>
      <c r="D22" s="138"/>
      <c r="E22" s="138"/>
      <c r="F22" s="138"/>
      <c r="G22" s="138"/>
      <c r="H22" s="138"/>
      <c r="I22" s="138"/>
      <c r="J22" s="138"/>
      <c r="K22" s="138"/>
      <c r="L22" s="138"/>
      <c r="M22" s="138"/>
      <c r="N22" s="138"/>
      <c r="O22" s="138"/>
      <c r="P22" s="138"/>
      <c r="Q22" s="138"/>
      <c r="R22" s="138"/>
      <c r="S22" s="138"/>
      <c r="T22" s="138"/>
      <c r="U22" s="138"/>
      <c r="V22" s="138"/>
      <c r="W22" s="138"/>
      <c r="X22" s="138"/>
      <c r="Y22" s="138"/>
      <c r="Z22" s="138"/>
    </row>
    <row r="23" spans="2:26" ht="27.95" customHeight="1" x14ac:dyDescent="0.2">
      <c r="B23" s="138" t="s">
        <v>190</v>
      </c>
      <c r="C23" s="138"/>
      <c r="D23" s="138"/>
      <c r="E23" s="138"/>
      <c r="F23" s="138"/>
      <c r="G23" s="138"/>
      <c r="H23" s="138"/>
      <c r="I23" s="138"/>
      <c r="J23" s="138"/>
      <c r="K23" s="138"/>
      <c r="L23" s="138"/>
      <c r="M23" s="138"/>
      <c r="N23" s="138"/>
      <c r="O23" s="138"/>
      <c r="P23" s="138"/>
      <c r="Q23" s="138"/>
      <c r="R23" s="138"/>
      <c r="S23" s="138"/>
      <c r="T23" s="138"/>
      <c r="U23" s="138"/>
      <c r="V23" s="138"/>
      <c r="W23" s="138"/>
      <c r="X23" s="138"/>
      <c r="Y23" s="138"/>
      <c r="Z23" s="138"/>
    </row>
    <row r="24" spans="2:26" x14ac:dyDescent="0.2">
      <c r="B24" s="138"/>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row>
    <row r="25" spans="2:26" ht="12.75" customHeight="1" x14ac:dyDescent="0.2">
      <c r="B25" s="138" t="s">
        <v>153</v>
      </c>
      <c r="C25" s="138"/>
      <c r="D25" s="138"/>
      <c r="E25" s="138"/>
      <c r="F25" s="138"/>
      <c r="G25" s="138"/>
      <c r="H25" s="138"/>
      <c r="I25" s="138"/>
      <c r="J25" s="138"/>
      <c r="K25" s="138"/>
      <c r="L25" s="138"/>
      <c r="M25" s="138"/>
      <c r="N25" s="138"/>
      <c r="O25" s="138"/>
      <c r="P25" s="138"/>
      <c r="Q25" s="138"/>
      <c r="R25" s="138"/>
      <c r="S25" s="138"/>
      <c r="T25" s="138"/>
      <c r="U25" s="138"/>
      <c r="V25" s="138"/>
      <c r="W25" s="138"/>
      <c r="X25" s="138"/>
      <c r="Y25" s="138"/>
      <c r="Z25" s="138"/>
    </row>
    <row r="26" spans="2:26" x14ac:dyDescent="0.2">
      <c r="B26" s="138"/>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row>
    <row r="27" spans="2:26" ht="27.95" customHeight="1" x14ac:dyDescent="0.2">
      <c r="B27" s="138" t="s">
        <v>154</v>
      </c>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row>
  </sheetData>
  <mergeCells count="24">
    <mergeCell ref="B2:J2"/>
    <mergeCell ref="B5:Z5"/>
    <mergeCell ref="B6:Z6"/>
    <mergeCell ref="B7:Z7"/>
    <mergeCell ref="B8:Z8"/>
    <mergeCell ref="B9:Z9"/>
    <mergeCell ref="B10:Z10"/>
    <mergeCell ref="B11:Z11"/>
    <mergeCell ref="B12:Z12"/>
    <mergeCell ref="B13:Z13"/>
    <mergeCell ref="B14:Z14"/>
    <mergeCell ref="B15:Z15"/>
    <mergeCell ref="B16:Z16"/>
    <mergeCell ref="B17:Z17"/>
    <mergeCell ref="B18:Z18"/>
    <mergeCell ref="B19:Z19"/>
    <mergeCell ref="B20:Z20"/>
    <mergeCell ref="B21:Z21"/>
    <mergeCell ref="B27:Z27"/>
    <mergeCell ref="B22:Z22"/>
    <mergeCell ref="B23:Z23"/>
    <mergeCell ref="B24:Z24"/>
    <mergeCell ref="B25:Z25"/>
    <mergeCell ref="B26:Z2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rgb="FFFFC000"/>
  </sheetPr>
  <dimension ref="A1:M80"/>
  <sheetViews>
    <sheetView zoomScale="90" zoomScaleNormal="90" workbookViewId="0">
      <selection activeCell="B26" sqref="B26"/>
    </sheetView>
  </sheetViews>
  <sheetFormatPr baseColWidth="10" defaultColWidth="0" defaultRowHeight="12.75" zeroHeight="1" x14ac:dyDescent="0.2"/>
  <cols>
    <col min="1" max="1" width="9" style="1" customWidth="1"/>
    <col min="2" max="2" width="48.375" style="1" customWidth="1"/>
    <col min="3" max="4" width="10.625" style="1" customWidth="1"/>
    <col min="5" max="5" width="11.125" style="1" customWidth="1"/>
    <col min="6" max="6" width="15.125" style="1" bestFit="1" customWidth="1"/>
    <col min="7" max="7" width="62" style="1" customWidth="1"/>
    <col min="8" max="8" width="9" style="1" customWidth="1"/>
    <col min="9" max="9" width="10.125" style="1" bestFit="1" customWidth="1"/>
    <col min="10" max="10" width="16.875" style="1" customWidth="1"/>
    <col min="11" max="11" width="9" style="1" customWidth="1"/>
    <col min="12" max="12" width="34.125" style="1" customWidth="1"/>
    <col min="13" max="13" width="9" style="1" customWidth="1"/>
    <col min="14" max="16384" width="9" style="1" hidden="1"/>
  </cols>
  <sheetData>
    <row r="1" spans="2:12" x14ac:dyDescent="0.2"/>
    <row r="2" spans="2:12" ht="21" thickBot="1" x14ac:dyDescent="0.35">
      <c r="B2" s="140" t="s">
        <v>57</v>
      </c>
      <c r="C2" s="140"/>
      <c r="D2" s="140"/>
      <c r="E2" s="140"/>
      <c r="F2" s="140"/>
      <c r="G2" s="140"/>
      <c r="H2" s="140"/>
      <c r="I2" s="140"/>
      <c r="J2" s="140"/>
      <c r="K2" s="140"/>
      <c r="L2" s="140"/>
    </row>
    <row r="3" spans="2:12" ht="13.5" thickTop="1" x14ac:dyDescent="0.2">
      <c r="B3" s="113" t="str">
        <f>Tooltype</f>
        <v>Calculator tool for the German scenario for inland water marinas</v>
      </c>
    </row>
    <row r="4" spans="2:12" x14ac:dyDescent="0.2"/>
    <row r="5" spans="2:12" ht="21" thickBot="1" x14ac:dyDescent="0.35">
      <c r="B5" s="115" t="s">
        <v>10</v>
      </c>
      <c r="G5" s="140" t="s">
        <v>64</v>
      </c>
      <c r="H5" s="140"/>
    </row>
    <row r="6" spans="2:12" ht="15" thickTop="1" x14ac:dyDescent="0.2">
      <c r="B6" s="117" t="str">
        <f>C_Compound_Name</f>
        <v>Copper</v>
      </c>
      <c r="C6"/>
      <c r="F6" s="47"/>
    </row>
    <row r="7" spans="2:12" x14ac:dyDescent="0.2">
      <c r="F7" s="47"/>
      <c r="G7" s="110" t="s">
        <v>64</v>
      </c>
      <c r="H7" s="76">
        <v>0.9</v>
      </c>
    </row>
    <row r="8" spans="2:12" x14ac:dyDescent="0.2">
      <c r="B8" s="47"/>
      <c r="C8" s="47"/>
      <c r="D8" s="47"/>
      <c r="E8" s="47"/>
      <c r="F8" s="47"/>
    </row>
    <row r="9" spans="2:12" ht="21" thickBot="1" x14ac:dyDescent="0.35">
      <c r="B9" s="140" t="s">
        <v>56</v>
      </c>
      <c r="C9" s="140"/>
      <c r="D9" s="140"/>
      <c r="E9" s="43"/>
      <c r="G9" s="33" t="s">
        <v>49</v>
      </c>
    </row>
    <row r="10" spans="2:12" ht="12.75" customHeight="1" thickTop="1" thickBot="1" x14ac:dyDescent="0.25">
      <c r="B10" s="47"/>
      <c r="C10" s="47"/>
      <c r="D10" s="47"/>
      <c r="E10" s="47"/>
    </row>
    <row r="11" spans="2:12" ht="26.25" customHeight="1" thickBot="1" x14ac:dyDescent="0.25">
      <c r="B11" s="47"/>
      <c r="C11" s="116" t="s">
        <v>68</v>
      </c>
      <c r="D11" s="116" t="s">
        <v>69</v>
      </c>
      <c r="E11" s="47"/>
      <c r="G11" s="108" t="s">
        <v>62</v>
      </c>
      <c r="H11" s="77">
        <v>2.5</v>
      </c>
      <c r="I11" s="34" t="s">
        <v>92</v>
      </c>
      <c r="J11" s="109" t="s">
        <v>63</v>
      </c>
    </row>
    <row r="12" spans="2:12" x14ac:dyDescent="0.2">
      <c r="B12" s="110" t="s">
        <v>3</v>
      </c>
      <c r="C12" s="76">
        <v>7.8</v>
      </c>
      <c r="D12" s="76">
        <v>7.8</v>
      </c>
      <c r="E12" s="111" t="s">
        <v>95</v>
      </c>
    </row>
    <row r="13" spans="2:12" x14ac:dyDescent="0.2">
      <c r="B13" s="110" t="s">
        <v>4</v>
      </c>
      <c r="C13" s="76">
        <v>87</v>
      </c>
      <c r="D13" s="76">
        <v>87</v>
      </c>
      <c r="E13" s="111" t="s">
        <v>96</v>
      </c>
    </row>
    <row r="14" spans="2:12" x14ac:dyDescent="0.2">
      <c r="E14" s="45"/>
    </row>
    <row r="15" spans="2:12" ht="21" thickBot="1" x14ac:dyDescent="0.35">
      <c r="B15" s="140" t="s">
        <v>54</v>
      </c>
      <c r="C15" s="140"/>
      <c r="D15" s="140"/>
      <c r="E15" s="43"/>
      <c r="G15" s="40" t="s">
        <v>20</v>
      </c>
      <c r="H15" s="40"/>
      <c r="I15" s="40"/>
      <c r="J15" s="40"/>
      <c r="K15" s="40"/>
      <c r="L15" s="40"/>
    </row>
    <row r="16" spans="2:12" ht="14.25" thickTop="1" thickBot="1" x14ac:dyDescent="0.25">
      <c r="B16" s="41"/>
    </row>
    <row r="17" spans="2:12" ht="18" thickBot="1" x14ac:dyDescent="0.35">
      <c r="B17" s="144" t="s">
        <v>91</v>
      </c>
      <c r="C17" s="144"/>
      <c r="D17" s="144"/>
      <c r="E17" s="44"/>
      <c r="G17" s="37" t="s">
        <v>14</v>
      </c>
      <c r="H17" s="38"/>
      <c r="I17" s="38"/>
      <c r="J17" s="38"/>
      <c r="K17" s="38"/>
      <c r="L17" s="39"/>
    </row>
    <row r="18" spans="2:12" ht="13.5" thickTop="1" x14ac:dyDescent="0.2">
      <c r="B18" s="41"/>
      <c r="E18"/>
      <c r="G18" s="16"/>
      <c r="H18" s="13"/>
      <c r="I18" s="13"/>
      <c r="J18" s="13"/>
      <c r="K18" s="13"/>
      <c r="L18" s="17"/>
    </row>
    <row r="19" spans="2:12" ht="25.5" x14ac:dyDescent="0.2">
      <c r="B19" s="110" t="s">
        <v>55</v>
      </c>
      <c r="C19" s="76">
        <v>0.88</v>
      </c>
      <c r="D19" s="88" t="s">
        <v>95</v>
      </c>
      <c r="E19"/>
      <c r="G19" s="112" t="s">
        <v>15</v>
      </c>
      <c r="H19" s="8" t="s">
        <v>16</v>
      </c>
      <c r="I19" s="8" t="s">
        <v>17</v>
      </c>
      <c r="J19" s="8" t="s">
        <v>18</v>
      </c>
      <c r="K19" s="8" t="s">
        <v>21</v>
      </c>
      <c r="L19" s="9" t="s">
        <v>19</v>
      </c>
    </row>
    <row r="20" spans="2:12" x14ac:dyDescent="0.2">
      <c r="B20" s="110" t="s">
        <v>4</v>
      </c>
      <c r="C20" s="76">
        <v>21</v>
      </c>
      <c r="D20" s="88" t="s">
        <v>96</v>
      </c>
      <c r="E20"/>
      <c r="G20" s="16"/>
      <c r="H20" s="13"/>
      <c r="I20" s="13"/>
      <c r="J20" s="13"/>
      <c r="K20" s="13"/>
      <c r="L20" s="17"/>
    </row>
    <row r="21" spans="2:12" ht="25.5" x14ac:dyDescent="0.2">
      <c r="B21"/>
      <c r="C21"/>
      <c r="D21"/>
      <c r="E21"/>
      <c r="G21" s="27" t="s">
        <v>22</v>
      </c>
      <c r="H21" s="21" t="s">
        <v>23</v>
      </c>
      <c r="I21" s="36"/>
      <c r="J21" s="23" t="s">
        <v>43</v>
      </c>
      <c r="K21" s="18" t="s">
        <v>45</v>
      </c>
      <c r="L21" s="11"/>
    </row>
    <row r="22" spans="2:12" x14ac:dyDescent="0.2">
      <c r="B22"/>
      <c r="C22"/>
      <c r="D22"/>
      <c r="E22"/>
      <c r="G22" s="27" t="s">
        <v>26</v>
      </c>
      <c r="H22" s="21" t="s">
        <v>24</v>
      </c>
      <c r="I22" s="36"/>
      <c r="J22" s="23" t="s">
        <v>2</v>
      </c>
      <c r="K22" s="18" t="s">
        <v>46</v>
      </c>
      <c r="L22" s="11"/>
    </row>
    <row r="23" spans="2:12" ht="29.25" customHeight="1" x14ac:dyDescent="0.2">
      <c r="B23"/>
      <c r="C23"/>
      <c r="D23"/>
      <c r="E23"/>
      <c r="G23" s="27" t="s">
        <v>27</v>
      </c>
      <c r="H23" s="21" t="s">
        <v>25</v>
      </c>
      <c r="I23" s="36"/>
      <c r="J23" s="23" t="s">
        <v>28</v>
      </c>
      <c r="K23" s="18" t="s">
        <v>46</v>
      </c>
      <c r="L23" s="11"/>
    </row>
    <row r="24" spans="2:12" ht="15" x14ac:dyDescent="0.2">
      <c r="B24"/>
      <c r="C24"/>
      <c r="D24"/>
      <c r="E24"/>
      <c r="G24" s="27" t="s">
        <v>29</v>
      </c>
      <c r="H24" s="22" t="s">
        <v>30</v>
      </c>
      <c r="I24" s="36"/>
      <c r="J24" s="23" t="s">
        <v>94</v>
      </c>
      <c r="K24" s="18" t="s">
        <v>46</v>
      </c>
      <c r="L24" s="11"/>
    </row>
    <row r="25" spans="2:12" x14ac:dyDescent="0.2">
      <c r="B25"/>
      <c r="C25"/>
      <c r="D25"/>
      <c r="E25"/>
      <c r="G25" s="27" t="s">
        <v>37</v>
      </c>
      <c r="H25" s="21" t="s">
        <v>31</v>
      </c>
      <c r="I25" s="36"/>
      <c r="J25" s="23" t="s">
        <v>93</v>
      </c>
      <c r="K25" s="18" t="s">
        <v>46</v>
      </c>
      <c r="L25" s="11"/>
    </row>
    <row r="26" spans="2:12" ht="29.25" customHeight="1" x14ac:dyDescent="0.2">
      <c r="B26"/>
      <c r="C26"/>
      <c r="D26"/>
      <c r="E26"/>
      <c r="G26" s="27" t="s">
        <v>107</v>
      </c>
      <c r="H26" s="21" t="s">
        <v>32</v>
      </c>
      <c r="I26" s="36"/>
      <c r="J26" s="23" t="s">
        <v>40</v>
      </c>
      <c r="K26" s="18" t="s">
        <v>46</v>
      </c>
      <c r="L26" s="11"/>
    </row>
    <row r="27" spans="2:12" x14ac:dyDescent="0.2">
      <c r="B27"/>
      <c r="C27"/>
      <c r="D27"/>
      <c r="E27"/>
      <c r="G27" s="27" t="s">
        <v>38</v>
      </c>
      <c r="H27" s="21" t="s">
        <v>33</v>
      </c>
      <c r="I27" s="36"/>
      <c r="J27" s="23" t="s">
        <v>39</v>
      </c>
      <c r="K27" s="18" t="s">
        <v>46</v>
      </c>
      <c r="L27" s="11"/>
    </row>
    <row r="28" spans="2:12" ht="15.75" thickBot="1" x14ac:dyDescent="0.25">
      <c r="B28"/>
      <c r="C28"/>
      <c r="D28"/>
      <c r="E28"/>
      <c r="G28" s="141" t="s">
        <v>34</v>
      </c>
      <c r="H28" s="142"/>
      <c r="I28" s="142"/>
      <c r="J28" s="142"/>
      <c r="K28" s="142"/>
      <c r="L28" s="143"/>
    </row>
    <row r="29" spans="2:12" ht="54" customHeight="1" thickTop="1" thickBot="1" x14ac:dyDescent="0.3">
      <c r="B29"/>
      <c r="C29"/>
      <c r="D29"/>
      <c r="E29"/>
      <c r="G29" s="27" t="s">
        <v>41</v>
      </c>
      <c r="H29" s="20" t="s">
        <v>35</v>
      </c>
      <c r="I29" s="29" t="e">
        <f>(C_La*C_a*C_Wa*C_ƿ*C_DFT)/C_VS</f>
        <v>#DIV/0!</v>
      </c>
      <c r="J29" s="23" t="s">
        <v>97</v>
      </c>
      <c r="K29" s="18" t="s">
        <v>44</v>
      </c>
      <c r="L29" s="11"/>
    </row>
    <row r="30" spans="2:12" ht="57.75" customHeight="1" thickTop="1" thickBot="1" x14ac:dyDescent="0.25">
      <c r="B30"/>
      <c r="C30"/>
      <c r="D30"/>
      <c r="E30"/>
      <c r="G30" s="26" t="s">
        <v>42</v>
      </c>
      <c r="H30" s="25" t="s">
        <v>36</v>
      </c>
      <c r="I30" s="30" t="e">
        <f>0.0329*(C_Mrel/C_t)</f>
        <v>#DIV/0!</v>
      </c>
      <c r="J30" s="24" t="s">
        <v>92</v>
      </c>
      <c r="K30" s="28" t="s">
        <v>44</v>
      </c>
      <c r="L30" s="19"/>
    </row>
    <row r="31" spans="2:12" x14ac:dyDescent="0.2">
      <c r="G31" s="14"/>
      <c r="H31" s="15"/>
    </row>
    <row r="32" spans="2:12" x14ac:dyDescent="0.2">
      <c r="G32" s="14"/>
      <c r="H32" s="15"/>
    </row>
    <row r="33" spans="2:7" ht="12.75" hidden="1" customHeight="1" x14ac:dyDescent="0.2"/>
    <row r="34" spans="2:7" ht="12.75" hidden="1" customHeight="1" x14ac:dyDescent="0.2"/>
    <row r="35" spans="2:7" ht="12.75" hidden="1" customHeight="1" x14ac:dyDescent="0.2"/>
    <row r="36" spans="2:7" ht="12.75" hidden="1" customHeight="1" x14ac:dyDescent="0.2"/>
    <row r="37" spans="2:7" ht="55.5" hidden="1" customHeight="1" x14ac:dyDescent="0.2"/>
    <row r="38" spans="2:7" ht="95.25" hidden="1" customHeight="1" x14ac:dyDescent="0.2"/>
    <row r="39" spans="2:7" ht="12.75" hidden="1" customHeight="1" x14ac:dyDescent="0.2"/>
    <row r="40" spans="2:7" ht="12.75" hidden="1" customHeight="1" x14ac:dyDescent="0.2">
      <c r="B40" s="14"/>
      <c r="C40" s="15"/>
    </row>
    <row r="41" spans="2:7" ht="12.75" hidden="1" customHeight="1" x14ac:dyDescent="0.2">
      <c r="B41" s="14"/>
      <c r="C41" s="15"/>
      <c r="E41" s="41"/>
      <c r="G41" s="41"/>
    </row>
    <row r="42" spans="2:7" ht="12.75" hidden="1" customHeight="1" x14ac:dyDescent="0.2">
      <c r="B42" s="41"/>
      <c r="C42" s="41"/>
      <c r="D42" s="41"/>
      <c r="E42" s="41"/>
      <c r="G42" s="31"/>
    </row>
    <row r="43" spans="2:7" ht="41.25" hidden="1" customHeight="1" x14ac:dyDescent="0.2">
      <c r="B43" s="41"/>
      <c r="C43" s="41"/>
      <c r="D43" s="41"/>
      <c r="F43" s="41"/>
      <c r="G43" s="31"/>
    </row>
    <row r="44" spans="2:7" ht="12.75" hidden="1" customHeight="1" x14ac:dyDescent="0.2">
      <c r="F44" s="31"/>
      <c r="G44" s="31"/>
    </row>
    <row r="45" spans="2:7" ht="12.75" hidden="1" customHeight="1" x14ac:dyDescent="0.2">
      <c r="F45" s="31"/>
      <c r="G45" s="31"/>
    </row>
    <row r="46" spans="2:7" ht="12.75" hidden="1" customHeight="1" x14ac:dyDescent="0.2">
      <c r="E46" s="41"/>
      <c r="F46" s="31"/>
      <c r="G46" s="31"/>
    </row>
    <row r="47" spans="2:7" ht="12.75" hidden="1" customHeight="1" x14ac:dyDescent="0.2">
      <c r="B47" s="41"/>
      <c r="C47" s="41"/>
      <c r="D47" s="41"/>
      <c r="E47" s="41"/>
      <c r="F47" s="31"/>
      <c r="G47" s="31"/>
    </row>
    <row r="48" spans="2:7" ht="12.75" hidden="1" customHeight="1" x14ac:dyDescent="0.2">
      <c r="B48" s="41"/>
      <c r="C48" s="41"/>
      <c r="D48" s="41"/>
      <c r="E48" s="41"/>
      <c r="F48" s="31"/>
      <c r="G48" s="31"/>
    </row>
    <row r="49" spans="2:7" ht="12.75" hidden="1" customHeight="1" x14ac:dyDescent="0.2">
      <c r="B49" s="41"/>
      <c r="C49" s="41"/>
      <c r="D49" s="41"/>
      <c r="E49" s="41"/>
      <c r="F49" s="31"/>
      <c r="G49" s="41"/>
    </row>
    <row r="50" spans="2:7" ht="12.75" hidden="1" customHeight="1" x14ac:dyDescent="0.2">
      <c r="B50" s="41"/>
      <c r="C50" s="41"/>
      <c r="D50" s="41"/>
      <c r="E50" s="41"/>
      <c r="F50" s="31"/>
      <c r="G50" s="31"/>
    </row>
    <row r="51" spans="2:7" ht="12.75" hidden="1" customHeight="1" x14ac:dyDescent="0.2">
      <c r="B51" s="41"/>
      <c r="C51" s="41"/>
      <c r="D51" s="41"/>
      <c r="E51" s="41"/>
      <c r="F51" s="41"/>
      <c r="G51" s="31"/>
    </row>
    <row r="52" spans="2:7" ht="12.75" hidden="1" customHeight="1" x14ac:dyDescent="0.2">
      <c r="B52" s="41"/>
      <c r="C52" s="41"/>
      <c r="D52" s="41"/>
      <c r="E52" s="41"/>
      <c r="F52" s="31"/>
      <c r="G52" s="31"/>
    </row>
    <row r="53" spans="2:7" ht="12.75" hidden="1" customHeight="1" x14ac:dyDescent="0.2">
      <c r="B53" s="41"/>
      <c r="C53" s="41"/>
      <c r="D53" s="41"/>
      <c r="E53" s="41"/>
      <c r="F53" s="31"/>
      <c r="G53" s="31"/>
    </row>
    <row r="54" spans="2:7" ht="12.75" hidden="1" customHeight="1" x14ac:dyDescent="0.2">
      <c r="B54" s="41"/>
      <c r="C54" s="41"/>
      <c r="D54" s="41"/>
      <c r="E54" s="41"/>
      <c r="F54" s="31"/>
      <c r="G54" s="31"/>
    </row>
    <row r="55" spans="2:7" ht="12.75" hidden="1" customHeight="1" x14ac:dyDescent="0.2">
      <c r="B55" s="41"/>
      <c r="C55" s="41"/>
      <c r="D55" s="41"/>
      <c r="E55" s="41"/>
      <c r="F55" s="31"/>
      <c r="G55" s="31"/>
    </row>
    <row r="56" spans="2:7" ht="12.75" hidden="1" customHeight="1" x14ac:dyDescent="0.2">
      <c r="B56" s="41"/>
      <c r="C56" s="41"/>
      <c r="D56" s="41"/>
      <c r="E56" s="41"/>
      <c r="F56" s="31"/>
      <c r="G56" s="31"/>
    </row>
    <row r="57" spans="2:7" ht="12.75" hidden="1" customHeight="1" x14ac:dyDescent="0.2">
      <c r="B57" s="41"/>
      <c r="C57" s="41"/>
      <c r="D57" s="41"/>
      <c r="E57" s="41"/>
      <c r="F57" s="31"/>
      <c r="G57" s="31"/>
    </row>
    <row r="58" spans="2:7" ht="12.75" hidden="1" customHeight="1" x14ac:dyDescent="0.2">
      <c r="B58" s="41"/>
      <c r="C58" s="41"/>
      <c r="D58" s="41"/>
      <c r="E58" s="41"/>
      <c r="F58" s="31"/>
      <c r="G58" s="31"/>
    </row>
    <row r="59" spans="2:7" ht="12.75" hidden="1" customHeight="1" x14ac:dyDescent="0.2">
      <c r="B59" s="41"/>
      <c r="C59" s="41"/>
      <c r="D59" s="41"/>
      <c r="E59" s="41"/>
      <c r="F59" s="31"/>
      <c r="G59" s="31"/>
    </row>
    <row r="60" spans="2:7" ht="12.75" hidden="1" customHeight="1" x14ac:dyDescent="0.2">
      <c r="B60" s="41"/>
      <c r="C60" s="41"/>
      <c r="D60" s="41"/>
      <c r="E60" s="41"/>
      <c r="F60" s="31"/>
      <c r="G60" s="41"/>
    </row>
    <row r="61" spans="2:7" ht="12.75" hidden="1" customHeight="1" x14ac:dyDescent="0.2">
      <c r="B61" s="41"/>
      <c r="C61" s="41"/>
      <c r="D61" s="41"/>
      <c r="E61" s="41"/>
      <c r="F61" s="31"/>
      <c r="G61" s="31"/>
    </row>
    <row r="62" spans="2:7" ht="12.75" hidden="1" customHeight="1" x14ac:dyDescent="0.2">
      <c r="B62" s="41"/>
      <c r="C62" s="41"/>
      <c r="D62" s="41"/>
      <c r="E62" s="41"/>
      <c r="F62" s="41"/>
      <c r="G62" s="31"/>
    </row>
    <row r="63" spans="2:7" ht="12.75" hidden="1" customHeight="1" x14ac:dyDescent="0.2">
      <c r="B63" s="41"/>
      <c r="C63" s="41"/>
      <c r="D63" s="41"/>
      <c r="E63" s="41"/>
      <c r="F63" s="31"/>
      <c r="G63" s="31"/>
    </row>
    <row r="64" spans="2:7" ht="12.75" hidden="1" customHeight="1" x14ac:dyDescent="0.2">
      <c r="B64" s="41"/>
      <c r="C64" s="41"/>
      <c r="D64" s="41"/>
      <c r="E64" s="41"/>
      <c r="F64" s="31"/>
      <c r="G64" s="31"/>
    </row>
    <row r="65" spans="2:7" ht="12.75" hidden="1" customHeight="1" x14ac:dyDescent="0.2">
      <c r="B65" s="41"/>
      <c r="C65" s="41"/>
      <c r="D65" s="41"/>
      <c r="E65" s="41"/>
      <c r="F65" s="31"/>
      <c r="G65" s="31"/>
    </row>
    <row r="66" spans="2:7" ht="12.75" hidden="1" customHeight="1" x14ac:dyDescent="0.2">
      <c r="B66" s="41"/>
      <c r="C66" s="41"/>
      <c r="D66" s="41"/>
      <c r="E66" s="41"/>
      <c r="F66" s="31"/>
      <c r="G66" s="31"/>
    </row>
    <row r="67" spans="2:7" ht="12.75" hidden="1" customHeight="1" x14ac:dyDescent="0.2">
      <c r="B67" s="41"/>
      <c r="C67" s="41"/>
      <c r="D67" s="41"/>
      <c r="E67" s="41"/>
      <c r="F67" s="31"/>
      <c r="G67" s="31"/>
    </row>
    <row r="68" spans="2:7" ht="12.75" hidden="1" customHeight="1" x14ac:dyDescent="0.2">
      <c r="B68" s="41"/>
      <c r="C68" s="41"/>
      <c r="D68" s="41"/>
      <c r="E68" s="41"/>
      <c r="F68" s="31"/>
      <c r="G68" s="31"/>
    </row>
    <row r="69" spans="2:7" ht="12.75" hidden="1" customHeight="1" x14ac:dyDescent="0.2">
      <c r="B69" s="41"/>
      <c r="C69" s="41"/>
      <c r="D69" s="41"/>
      <c r="F69" s="31"/>
    </row>
    <row r="70" spans="2:7" ht="12.75" hidden="1" customHeight="1" x14ac:dyDescent="0.2">
      <c r="F70" s="31"/>
    </row>
    <row r="71" spans="2:7" ht="12.75" hidden="1" customHeight="1" x14ac:dyDescent="0.2"/>
    <row r="72" spans="2:7" x14ac:dyDescent="0.2"/>
    <row r="73" spans="2:7" x14ac:dyDescent="0.2"/>
    <row r="74" spans="2:7" x14ac:dyDescent="0.2"/>
    <row r="75" spans="2:7" x14ac:dyDescent="0.2"/>
    <row r="76" spans="2:7" x14ac:dyDescent="0.2"/>
    <row r="77" spans="2:7" x14ac:dyDescent="0.2"/>
    <row r="78" spans="2:7" x14ac:dyDescent="0.2"/>
    <row r="79" spans="2:7" x14ac:dyDescent="0.2"/>
    <row r="80" spans="2:7" x14ac:dyDescent="0.2"/>
  </sheetData>
  <mergeCells count="6">
    <mergeCell ref="B15:D15"/>
    <mergeCell ref="B9:D9"/>
    <mergeCell ref="G28:L28"/>
    <mergeCell ref="B2:L2"/>
    <mergeCell ref="G5:H5"/>
    <mergeCell ref="B17:D17"/>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M82"/>
  <sheetViews>
    <sheetView topLeftCell="F1" zoomScale="90" zoomScaleNormal="90" workbookViewId="0">
      <selection activeCell="H7" sqref="H7"/>
    </sheetView>
  </sheetViews>
  <sheetFormatPr baseColWidth="10" defaultColWidth="0" defaultRowHeight="12.75" customHeight="1" zeroHeight="1" x14ac:dyDescent="0.2"/>
  <cols>
    <col min="1" max="1" width="9" style="1" customWidth="1"/>
    <col min="2" max="2" width="48.375" style="1" customWidth="1"/>
    <col min="3" max="4" width="10.625" style="1" customWidth="1"/>
    <col min="5" max="5" width="11.125" style="1" customWidth="1"/>
    <col min="6" max="6" width="15.125" style="1" bestFit="1" customWidth="1"/>
    <col min="7" max="7" width="62" style="1" customWidth="1"/>
    <col min="8" max="8" width="9" style="1" customWidth="1"/>
    <col min="9" max="9" width="10.125" style="1" bestFit="1" customWidth="1"/>
    <col min="10" max="10" width="16.875" style="1" customWidth="1"/>
    <col min="11" max="11" width="9" style="1" customWidth="1"/>
    <col min="12" max="12" width="34.125" style="1" customWidth="1"/>
    <col min="13" max="13" width="9" style="1" customWidth="1"/>
    <col min="14" max="16384" width="9" style="1" hidden="1"/>
  </cols>
  <sheetData>
    <row r="1" spans="2:12" x14ac:dyDescent="0.2"/>
    <row r="2" spans="2:12" ht="21" thickBot="1" x14ac:dyDescent="0.35">
      <c r="B2" s="140" t="s">
        <v>57</v>
      </c>
      <c r="C2" s="140"/>
      <c r="D2" s="140"/>
      <c r="E2" s="140"/>
      <c r="F2" s="140"/>
      <c r="G2" s="140"/>
      <c r="H2" s="140"/>
      <c r="I2" s="140"/>
      <c r="J2" s="140"/>
      <c r="K2" s="140"/>
      <c r="L2" s="140"/>
    </row>
    <row r="3" spans="2:12" ht="13.5" thickTop="1" x14ac:dyDescent="0.2">
      <c r="B3" s="113" t="str">
        <f>Tooltype</f>
        <v>Calculator tool for the German scenario for inland water marinas</v>
      </c>
    </row>
    <row r="4" spans="2:12" x14ac:dyDescent="0.2"/>
    <row r="5" spans="2:12" ht="21" thickBot="1" x14ac:dyDescent="0.35">
      <c r="B5" s="115" t="s">
        <v>10</v>
      </c>
      <c r="G5" s="140" t="s">
        <v>64</v>
      </c>
      <c r="H5" s="140"/>
    </row>
    <row r="6" spans="2:12" ht="15" customHeight="1" thickTop="1" x14ac:dyDescent="0.2">
      <c r="B6" s="117" t="str">
        <f>P_Compound_Name</f>
        <v>Pyrithione</v>
      </c>
      <c r="C6"/>
      <c r="F6" s="47"/>
    </row>
    <row r="7" spans="2:12" x14ac:dyDescent="0.2">
      <c r="F7" s="47"/>
      <c r="G7" s="110" t="s">
        <v>64</v>
      </c>
      <c r="H7" s="76">
        <f>Application_Factor</f>
        <v>0.9</v>
      </c>
      <c r="I7" s="109" t="s">
        <v>146</v>
      </c>
    </row>
    <row r="8" spans="2:12" ht="12.75" customHeight="1" x14ac:dyDescent="0.2">
      <c r="F8" s="47"/>
    </row>
    <row r="9" spans="2:12" ht="21" thickBot="1" x14ac:dyDescent="0.35">
      <c r="B9" s="140" t="s">
        <v>56</v>
      </c>
      <c r="C9" s="140"/>
      <c r="D9" s="140"/>
      <c r="E9" s="84"/>
      <c r="F9" s="47"/>
      <c r="G9" s="33" t="s">
        <v>49</v>
      </c>
    </row>
    <row r="10" spans="2:12" ht="12.75" customHeight="1" thickTop="1" thickBot="1" x14ac:dyDescent="0.25">
      <c r="B10" s="47"/>
      <c r="C10" s="47"/>
      <c r="D10" s="47"/>
      <c r="E10" s="47"/>
      <c r="F10" s="47"/>
    </row>
    <row r="11" spans="2:12" ht="26.25" customHeight="1" thickBot="1" x14ac:dyDescent="0.25">
      <c r="B11" s="47"/>
      <c r="C11" s="116" t="s">
        <v>68</v>
      </c>
      <c r="D11" s="116" t="s">
        <v>69</v>
      </c>
      <c r="E11" s="47"/>
      <c r="G11" s="108" t="s">
        <v>62</v>
      </c>
      <c r="H11" s="77">
        <v>2.5</v>
      </c>
      <c r="I11" s="34" t="s">
        <v>92</v>
      </c>
      <c r="J11" s="109" t="s">
        <v>63</v>
      </c>
    </row>
    <row r="12" spans="2:12" x14ac:dyDescent="0.2">
      <c r="B12" s="110" t="s">
        <v>3</v>
      </c>
      <c r="C12" s="76">
        <v>1.7600000000000001E-2</v>
      </c>
      <c r="D12" s="76">
        <v>1.7600000000000001E-2</v>
      </c>
      <c r="E12" s="111" t="s">
        <v>95</v>
      </c>
    </row>
    <row r="13" spans="2:12" x14ac:dyDescent="0.2">
      <c r="B13" s="110" t="s">
        <v>4</v>
      </c>
      <c r="C13" s="76">
        <v>8.5000000000000006E-3</v>
      </c>
      <c r="D13" s="76">
        <v>8.5000000000000006E-3</v>
      </c>
      <c r="E13" s="111" t="s">
        <v>96</v>
      </c>
    </row>
    <row r="14" spans="2:12" ht="12.75" customHeight="1" x14ac:dyDescent="0.2"/>
    <row r="15" spans="2:12" ht="21" thickBot="1" x14ac:dyDescent="0.35">
      <c r="B15" s="140" t="s">
        <v>54</v>
      </c>
      <c r="C15" s="140"/>
      <c r="D15" s="140"/>
      <c r="E15" s="90"/>
      <c r="G15" s="84" t="s">
        <v>20</v>
      </c>
      <c r="H15" s="84"/>
      <c r="I15" s="84"/>
      <c r="J15" s="84"/>
      <c r="K15" s="84"/>
      <c r="L15" s="84"/>
    </row>
    <row r="16" spans="2:12" ht="14.25" thickTop="1" thickBot="1" x14ac:dyDescent="0.25">
      <c r="B16" s="41"/>
    </row>
    <row r="17" spans="2:12" ht="18" thickBot="1" x14ac:dyDescent="0.35">
      <c r="B17" s="144" t="s">
        <v>91</v>
      </c>
      <c r="C17" s="144"/>
      <c r="D17" s="144"/>
      <c r="E17" s="92"/>
      <c r="G17" s="37" t="s">
        <v>14</v>
      </c>
      <c r="H17" s="38"/>
      <c r="I17" s="38"/>
      <c r="J17" s="38"/>
      <c r="K17" s="38"/>
      <c r="L17" s="39"/>
    </row>
    <row r="18" spans="2:12" ht="13.5" thickTop="1" x14ac:dyDescent="0.2">
      <c r="B18" s="41"/>
      <c r="G18" s="16"/>
      <c r="H18" s="13"/>
      <c r="I18" s="13"/>
      <c r="J18" s="13"/>
      <c r="K18" s="13"/>
      <c r="L18" s="17"/>
    </row>
    <row r="19" spans="2:12" ht="25.5" x14ac:dyDescent="0.2">
      <c r="B19" s="110" t="s">
        <v>55</v>
      </c>
      <c r="C19" s="76">
        <v>0</v>
      </c>
      <c r="D19" s="91" t="s">
        <v>95</v>
      </c>
      <c r="E19" s="45"/>
      <c r="G19" s="112" t="s">
        <v>15</v>
      </c>
      <c r="H19" s="8" t="s">
        <v>16</v>
      </c>
      <c r="I19" s="8" t="s">
        <v>17</v>
      </c>
      <c r="J19" s="8" t="s">
        <v>18</v>
      </c>
      <c r="K19" s="8" t="s">
        <v>21</v>
      </c>
      <c r="L19" s="9" t="s">
        <v>19</v>
      </c>
    </row>
    <row r="20" spans="2:12" x14ac:dyDescent="0.2">
      <c r="B20" s="110" t="s">
        <v>4</v>
      </c>
      <c r="C20" s="76">
        <v>0</v>
      </c>
      <c r="D20" s="91" t="s">
        <v>96</v>
      </c>
      <c r="E20" s="45"/>
      <c r="G20" s="16"/>
      <c r="H20" s="13"/>
      <c r="I20" s="13"/>
      <c r="J20" s="13"/>
      <c r="K20" s="13"/>
      <c r="L20" s="17"/>
    </row>
    <row r="21" spans="2:12" ht="25.5" x14ac:dyDescent="0.2">
      <c r="B21" s="74"/>
      <c r="C21" s="74"/>
      <c r="D21" s="74"/>
      <c r="E21" s="74"/>
      <c r="G21" s="27" t="s">
        <v>22</v>
      </c>
      <c r="H21" s="21" t="s">
        <v>23</v>
      </c>
      <c r="I21" s="36"/>
      <c r="J21" s="23" t="s">
        <v>43</v>
      </c>
      <c r="K21" s="18" t="s">
        <v>45</v>
      </c>
      <c r="L21" s="11"/>
    </row>
    <row r="22" spans="2:12" x14ac:dyDescent="0.2">
      <c r="B22" s="74"/>
      <c r="C22" s="74"/>
      <c r="D22" s="74"/>
      <c r="E22" s="74"/>
      <c r="G22" s="27" t="s">
        <v>26</v>
      </c>
      <c r="H22" s="21" t="s">
        <v>24</v>
      </c>
      <c r="I22" s="36"/>
      <c r="J22" s="23" t="s">
        <v>2</v>
      </c>
      <c r="K22" s="18" t="s">
        <v>46</v>
      </c>
      <c r="L22" s="11"/>
    </row>
    <row r="23" spans="2:12" ht="29.25" customHeight="1" x14ac:dyDescent="0.2">
      <c r="B23" s="74"/>
      <c r="C23" s="74"/>
      <c r="D23" s="74"/>
      <c r="E23" s="74"/>
      <c r="G23" s="27" t="s">
        <v>27</v>
      </c>
      <c r="H23" s="21" t="s">
        <v>25</v>
      </c>
      <c r="I23" s="36"/>
      <c r="J23" s="23" t="s">
        <v>28</v>
      </c>
      <c r="K23" s="18" t="s">
        <v>46</v>
      </c>
      <c r="L23" s="11"/>
    </row>
    <row r="24" spans="2:12" ht="15" x14ac:dyDescent="0.2">
      <c r="B24" s="74"/>
      <c r="C24" s="74"/>
      <c r="D24" s="74"/>
      <c r="E24" s="74"/>
      <c r="G24" s="27" t="s">
        <v>29</v>
      </c>
      <c r="H24" s="22" t="s">
        <v>30</v>
      </c>
      <c r="I24" s="36"/>
      <c r="J24" s="23" t="s">
        <v>94</v>
      </c>
      <c r="K24" s="18" t="s">
        <v>46</v>
      </c>
      <c r="L24" s="11"/>
    </row>
    <row r="25" spans="2:12" x14ac:dyDescent="0.2">
      <c r="B25" s="74"/>
      <c r="C25" s="74"/>
      <c r="D25" s="74"/>
      <c r="E25" s="74"/>
      <c r="G25" s="27" t="s">
        <v>37</v>
      </c>
      <c r="H25" s="21" t="s">
        <v>31</v>
      </c>
      <c r="I25" s="36"/>
      <c r="J25" s="23" t="s">
        <v>93</v>
      </c>
      <c r="K25" s="18" t="s">
        <v>46</v>
      </c>
      <c r="L25" s="11"/>
    </row>
    <row r="26" spans="2:12" ht="29.25" customHeight="1" x14ac:dyDescent="0.2">
      <c r="B26" s="74"/>
      <c r="C26" s="74"/>
      <c r="D26" s="74"/>
      <c r="E26" s="74"/>
      <c r="G26" s="27" t="s">
        <v>107</v>
      </c>
      <c r="H26" s="21" t="s">
        <v>32</v>
      </c>
      <c r="I26" s="36"/>
      <c r="J26" s="23" t="s">
        <v>40</v>
      </c>
      <c r="K26" s="18" t="s">
        <v>46</v>
      </c>
      <c r="L26" s="11"/>
    </row>
    <row r="27" spans="2:12" x14ac:dyDescent="0.2">
      <c r="B27" s="74"/>
      <c r="C27" s="74"/>
      <c r="D27" s="74"/>
      <c r="E27" s="74"/>
      <c r="G27" s="27" t="s">
        <v>38</v>
      </c>
      <c r="H27" s="21" t="s">
        <v>33</v>
      </c>
      <c r="I27" s="36"/>
      <c r="J27" s="23" t="s">
        <v>39</v>
      </c>
      <c r="K27" s="18" t="s">
        <v>46</v>
      </c>
      <c r="L27" s="11"/>
    </row>
    <row r="28" spans="2:12" ht="15.75" thickBot="1" x14ac:dyDescent="0.25">
      <c r="B28" s="74"/>
      <c r="C28" s="74"/>
      <c r="D28" s="74"/>
      <c r="E28" s="74"/>
      <c r="G28" s="141" t="s">
        <v>34</v>
      </c>
      <c r="H28" s="142"/>
      <c r="I28" s="142"/>
      <c r="J28" s="142"/>
      <c r="K28" s="142"/>
      <c r="L28" s="143"/>
    </row>
    <row r="29" spans="2:12" ht="54" customHeight="1" thickTop="1" thickBot="1" x14ac:dyDescent="0.3">
      <c r="B29" s="74"/>
      <c r="C29" s="74"/>
      <c r="D29" s="74"/>
      <c r="E29" s="74"/>
      <c r="G29" s="27" t="s">
        <v>41</v>
      </c>
      <c r="H29" s="20" t="s">
        <v>35</v>
      </c>
      <c r="I29" s="29" t="e">
        <f>(P_La*P_a*P_Wa*P_ƿ*P_DFT)/P_VS</f>
        <v>#DIV/0!</v>
      </c>
      <c r="J29" s="23" t="s">
        <v>97</v>
      </c>
      <c r="K29" s="18" t="s">
        <v>44</v>
      </c>
      <c r="L29" s="11"/>
    </row>
    <row r="30" spans="2:12" ht="57.75" customHeight="1" thickTop="1" thickBot="1" x14ac:dyDescent="0.25">
      <c r="B30" s="74"/>
      <c r="C30" s="74"/>
      <c r="D30" s="74"/>
      <c r="E30" s="74"/>
      <c r="G30" s="26" t="s">
        <v>42</v>
      </c>
      <c r="H30" s="25" t="s">
        <v>36</v>
      </c>
      <c r="I30" s="30" t="e">
        <f>0.0329*(P_Mrel/P_t)</f>
        <v>#DIV/0!</v>
      </c>
      <c r="J30" s="24" t="s">
        <v>92</v>
      </c>
      <c r="K30" s="28" t="s">
        <v>44</v>
      </c>
      <c r="L30" s="19"/>
    </row>
    <row r="31" spans="2:12" x14ac:dyDescent="0.2">
      <c r="G31" s="14"/>
      <c r="H31" s="15"/>
    </row>
    <row r="32" spans="2:12" x14ac:dyDescent="0.2">
      <c r="G32" s="14"/>
      <c r="H32" s="15"/>
    </row>
    <row r="33" spans="2:7" ht="12.75" hidden="1" customHeight="1" x14ac:dyDescent="0.2"/>
    <row r="34" spans="2:7" ht="12.75" hidden="1" customHeight="1" x14ac:dyDescent="0.2"/>
    <row r="35" spans="2:7" ht="12.75" hidden="1" customHeight="1" x14ac:dyDescent="0.2"/>
    <row r="36" spans="2:7" ht="12.75" hidden="1" customHeight="1" x14ac:dyDescent="0.2"/>
    <row r="37" spans="2:7" ht="55.5" hidden="1" customHeight="1" x14ac:dyDescent="0.2"/>
    <row r="38" spans="2:7" ht="95.25" hidden="1" customHeight="1" x14ac:dyDescent="0.2"/>
    <row r="39" spans="2:7" ht="12.75" hidden="1" customHeight="1" x14ac:dyDescent="0.2"/>
    <row r="40" spans="2:7" ht="12.75" hidden="1" customHeight="1" x14ac:dyDescent="0.2">
      <c r="B40" s="14"/>
      <c r="C40" s="15"/>
    </row>
    <row r="41" spans="2:7" ht="12.75" hidden="1" customHeight="1" x14ac:dyDescent="0.2">
      <c r="B41" s="14"/>
      <c r="C41" s="15"/>
      <c r="E41" s="41"/>
      <c r="G41" s="41"/>
    </row>
    <row r="42" spans="2:7" ht="12.75" hidden="1" customHeight="1" x14ac:dyDescent="0.2">
      <c r="B42" s="41"/>
      <c r="C42" s="41"/>
      <c r="D42" s="41"/>
      <c r="E42" s="41"/>
      <c r="G42" s="41"/>
    </row>
    <row r="43" spans="2:7" ht="41.25" hidden="1" customHeight="1" x14ac:dyDescent="0.2">
      <c r="B43" s="41"/>
      <c r="C43" s="41"/>
      <c r="D43" s="41"/>
      <c r="F43" s="41"/>
      <c r="G43" s="41"/>
    </row>
    <row r="44" spans="2:7" ht="12.75" hidden="1" customHeight="1" x14ac:dyDescent="0.2">
      <c r="F44" s="41"/>
      <c r="G44" s="41"/>
    </row>
    <row r="45" spans="2:7" ht="12.75" hidden="1" customHeight="1" x14ac:dyDescent="0.2">
      <c r="F45" s="41"/>
      <c r="G45" s="41"/>
    </row>
    <row r="46" spans="2:7" ht="12.75" hidden="1" customHeight="1" x14ac:dyDescent="0.2">
      <c r="E46" s="41"/>
      <c r="F46" s="41"/>
      <c r="G46" s="41"/>
    </row>
    <row r="47" spans="2:7" ht="12.75" hidden="1" customHeight="1" x14ac:dyDescent="0.2">
      <c r="B47" s="41"/>
      <c r="C47" s="41"/>
      <c r="D47" s="41"/>
      <c r="E47" s="41"/>
      <c r="F47" s="41"/>
      <c r="G47" s="41"/>
    </row>
    <row r="48" spans="2:7" ht="12.75" hidden="1" customHeight="1" x14ac:dyDescent="0.2">
      <c r="B48" s="41"/>
      <c r="C48" s="41"/>
      <c r="D48" s="41"/>
      <c r="E48" s="41"/>
      <c r="F48" s="41"/>
      <c r="G48" s="41"/>
    </row>
    <row r="49" spans="2:7" ht="12.75" hidden="1" customHeight="1" x14ac:dyDescent="0.2">
      <c r="B49" s="41"/>
      <c r="C49" s="41"/>
      <c r="D49" s="41"/>
      <c r="E49" s="41"/>
      <c r="F49" s="41"/>
      <c r="G49" s="41"/>
    </row>
    <row r="50" spans="2:7" ht="12.75" hidden="1" customHeight="1" x14ac:dyDescent="0.2">
      <c r="B50" s="41"/>
      <c r="C50" s="41"/>
      <c r="D50" s="41"/>
      <c r="E50" s="41"/>
      <c r="F50" s="41"/>
      <c r="G50" s="41"/>
    </row>
    <row r="51" spans="2:7" ht="12.75" hidden="1" customHeight="1" x14ac:dyDescent="0.2">
      <c r="B51" s="41"/>
      <c r="C51" s="41"/>
      <c r="D51" s="41"/>
      <c r="E51" s="41"/>
      <c r="F51" s="41"/>
      <c r="G51" s="41"/>
    </row>
    <row r="52" spans="2:7" ht="12.75" hidden="1" customHeight="1" x14ac:dyDescent="0.2">
      <c r="B52" s="41"/>
      <c r="C52" s="41"/>
      <c r="D52" s="41"/>
      <c r="E52" s="41"/>
      <c r="F52" s="41"/>
      <c r="G52" s="41"/>
    </row>
    <row r="53" spans="2:7" ht="12.75" hidden="1" customHeight="1" x14ac:dyDescent="0.2">
      <c r="B53" s="41"/>
      <c r="C53" s="41"/>
      <c r="D53" s="41"/>
      <c r="E53" s="41"/>
      <c r="F53" s="41"/>
      <c r="G53" s="41"/>
    </row>
    <row r="54" spans="2:7" ht="12.75" hidden="1" customHeight="1" x14ac:dyDescent="0.2">
      <c r="B54" s="41"/>
      <c r="C54" s="41"/>
      <c r="D54" s="41"/>
      <c r="E54" s="41"/>
      <c r="F54" s="41"/>
      <c r="G54" s="41"/>
    </row>
    <row r="55" spans="2:7" ht="12.75" hidden="1" customHeight="1" x14ac:dyDescent="0.2">
      <c r="B55" s="41"/>
      <c r="C55" s="41"/>
      <c r="D55" s="41"/>
      <c r="E55" s="41"/>
      <c r="F55" s="41"/>
      <c r="G55" s="41"/>
    </row>
    <row r="56" spans="2:7" ht="12.75" hidden="1" customHeight="1" x14ac:dyDescent="0.2">
      <c r="B56" s="41"/>
      <c r="C56" s="41"/>
      <c r="D56" s="41"/>
      <c r="E56" s="41"/>
      <c r="F56" s="41"/>
      <c r="G56" s="41"/>
    </row>
    <row r="57" spans="2:7" ht="12.75" hidden="1" customHeight="1" x14ac:dyDescent="0.2">
      <c r="B57" s="41"/>
      <c r="C57" s="41"/>
      <c r="D57" s="41"/>
      <c r="E57" s="41"/>
      <c r="F57" s="41"/>
      <c r="G57" s="41"/>
    </row>
    <row r="58" spans="2:7" ht="12.75" hidden="1" customHeight="1" x14ac:dyDescent="0.2">
      <c r="B58" s="41"/>
      <c r="C58" s="41"/>
      <c r="D58" s="41"/>
      <c r="E58" s="41"/>
      <c r="F58" s="41"/>
      <c r="G58" s="41"/>
    </row>
    <row r="59" spans="2:7" ht="12.75" hidden="1" customHeight="1" x14ac:dyDescent="0.2">
      <c r="B59" s="41"/>
      <c r="C59" s="41"/>
      <c r="D59" s="41"/>
      <c r="E59" s="41"/>
      <c r="F59" s="41"/>
      <c r="G59" s="41"/>
    </row>
    <row r="60" spans="2:7" ht="12.75" hidden="1" customHeight="1" x14ac:dyDescent="0.2">
      <c r="B60" s="41"/>
      <c r="C60" s="41"/>
      <c r="D60" s="41"/>
      <c r="E60" s="41"/>
      <c r="F60" s="41"/>
      <c r="G60" s="41"/>
    </row>
    <row r="61" spans="2:7" ht="12.75" hidden="1" customHeight="1" x14ac:dyDescent="0.2">
      <c r="B61" s="41"/>
      <c r="C61" s="41"/>
      <c r="D61" s="41"/>
      <c r="E61" s="41"/>
      <c r="F61" s="41"/>
      <c r="G61" s="41"/>
    </row>
    <row r="62" spans="2:7" ht="12.75" hidden="1" customHeight="1" x14ac:dyDescent="0.2">
      <c r="B62" s="41"/>
      <c r="C62" s="41"/>
      <c r="D62" s="41"/>
      <c r="E62" s="41"/>
      <c r="F62" s="41"/>
      <c r="G62" s="41"/>
    </row>
    <row r="63" spans="2:7" ht="12.75" hidden="1" customHeight="1" x14ac:dyDescent="0.2">
      <c r="B63" s="41"/>
      <c r="C63" s="41"/>
      <c r="D63" s="41"/>
      <c r="E63" s="41"/>
      <c r="F63" s="41"/>
      <c r="G63" s="41"/>
    </row>
    <row r="64" spans="2:7" ht="12.75" hidden="1" customHeight="1" x14ac:dyDescent="0.2">
      <c r="B64" s="41"/>
      <c r="C64" s="41"/>
      <c r="D64" s="41"/>
      <c r="E64" s="41"/>
      <c r="F64" s="41"/>
      <c r="G64" s="41"/>
    </row>
    <row r="65" spans="2:7" ht="12.75" hidden="1" customHeight="1" x14ac:dyDescent="0.2">
      <c r="B65" s="41"/>
      <c r="C65" s="41"/>
      <c r="D65" s="41"/>
      <c r="E65" s="41"/>
      <c r="F65" s="41"/>
      <c r="G65" s="41"/>
    </row>
    <row r="66" spans="2:7" ht="12.75" hidden="1" customHeight="1" x14ac:dyDescent="0.2">
      <c r="B66" s="41"/>
      <c r="C66" s="41"/>
      <c r="D66" s="41"/>
      <c r="E66" s="41"/>
      <c r="F66" s="41"/>
      <c r="G66" s="41"/>
    </row>
    <row r="67" spans="2:7" ht="12.75" hidden="1" customHeight="1" x14ac:dyDescent="0.2">
      <c r="B67" s="41"/>
      <c r="C67" s="41"/>
      <c r="D67" s="41"/>
      <c r="E67" s="41"/>
      <c r="F67" s="41"/>
      <c r="G67" s="41"/>
    </row>
    <row r="68" spans="2:7" ht="12.75" hidden="1" customHeight="1" x14ac:dyDescent="0.2">
      <c r="B68" s="41"/>
      <c r="C68" s="41"/>
      <c r="D68" s="41"/>
      <c r="E68" s="41"/>
      <c r="F68" s="41"/>
      <c r="G68" s="41"/>
    </row>
    <row r="69" spans="2:7" ht="12.75" hidden="1" customHeight="1" x14ac:dyDescent="0.2">
      <c r="B69" s="41"/>
      <c r="C69" s="41"/>
      <c r="D69" s="41"/>
      <c r="F69" s="41"/>
    </row>
    <row r="70" spans="2:7" ht="12.75" hidden="1" customHeight="1" x14ac:dyDescent="0.2">
      <c r="F70" s="41"/>
    </row>
    <row r="71" spans="2:7" ht="12.75" hidden="1" customHeight="1" x14ac:dyDescent="0.2"/>
    <row r="72" spans="2:7" x14ac:dyDescent="0.2"/>
    <row r="73" spans="2:7" x14ac:dyDescent="0.2"/>
    <row r="74" spans="2:7" x14ac:dyDescent="0.2"/>
    <row r="75" spans="2:7" x14ac:dyDescent="0.2"/>
    <row r="76" spans="2:7" x14ac:dyDescent="0.2"/>
    <row r="77" spans="2:7" x14ac:dyDescent="0.2"/>
    <row r="78" spans="2:7" x14ac:dyDescent="0.2"/>
    <row r="79" spans="2:7" ht="12.75" customHeight="1" x14ac:dyDescent="0.2"/>
    <row r="80" spans="2:7" ht="12.75" customHeight="1" x14ac:dyDescent="0.2"/>
    <row r="81" ht="12.75" customHeight="1" x14ac:dyDescent="0.2"/>
    <row r="82" ht="12.75" customHeight="1" x14ac:dyDescent="0.2"/>
  </sheetData>
  <mergeCells count="6">
    <mergeCell ref="G28:L28"/>
    <mergeCell ref="B17:D17"/>
    <mergeCell ref="B15:D15"/>
    <mergeCell ref="B2:L2"/>
    <mergeCell ref="B9:D9"/>
    <mergeCell ref="G5:H5"/>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tint="4.9989318521683403E-2"/>
  </sheetPr>
  <dimension ref="A1:Z404"/>
  <sheetViews>
    <sheetView topLeftCell="A37" zoomScale="85" zoomScaleNormal="85" workbookViewId="0">
      <selection activeCell="C48" sqref="C48:C64"/>
    </sheetView>
  </sheetViews>
  <sheetFormatPr baseColWidth="10" defaultColWidth="0" defaultRowHeight="12.75" zeroHeight="1" x14ac:dyDescent="0.2"/>
  <cols>
    <col min="1" max="2" width="3.125" style="1" customWidth="1"/>
    <col min="3" max="3" width="47.375" bestFit="1" customWidth="1"/>
    <col min="4" max="4" width="6" customWidth="1"/>
    <col min="5" max="9" width="16.625" customWidth="1"/>
    <col min="10" max="10" width="16.625" style="1" customWidth="1"/>
    <col min="11" max="12" width="16.625" customWidth="1"/>
    <col min="13" max="13" width="3.125" customWidth="1"/>
    <col min="14" max="14" width="3" customWidth="1"/>
    <col min="15" max="15" width="12.75" hidden="1" customWidth="1"/>
    <col min="16" max="16" width="12.25" hidden="1" customWidth="1"/>
    <col min="17" max="17" width="12.5" hidden="1" customWidth="1"/>
    <col min="18" max="18" width="12.25" hidden="1" customWidth="1"/>
    <col min="19" max="26" width="0" hidden="1" customWidth="1"/>
    <col min="27" max="16384" width="9" hidden="1"/>
  </cols>
  <sheetData>
    <row r="1" spans="1:14" x14ac:dyDescent="0.2">
      <c r="A1" s="57"/>
      <c r="B1" s="57"/>
      <c r="C1" s="57"/>
      <c r="D1" s="57"/>
      <c r="E1" s="57"/>
      <c r="F1" s="57"/>
      <c r="G1" s="57"/>
      <c r="H1" s="57"/>
      <c r="I1" s="57"/>
      <c r="J1" s="57"/>
      <c r="K1" s="57"/>
      <c r="L1" s="57"/>
      <c r="M1" s="57"/>
      <c r="N1" s="57"/>
    </row>
    <row r="2" spans="1:14" x14ac:dyDescent="0.2">
      <c r="A2" s="57"/>
      <c r="K2" s="1"/>
      <c r="N2" s="57"/>
    </row>
    <row r="3" spans="1:14" x14ac:dyDescent="0.2">
      <c r="A3" s="57"/>
      <c r="C3" s="51" t="s">
        <v>73</v>
      </c>
      <c r="D3" s="51"/>
      <c r="E3" s="51"/>
      <c r="F3" s="51"/>
      <c r="G3" s="51"/>
      <c r="H3" s="51"/>
      <c r="I3" s="51"/>
      <c r="J3" s="59"/>
      <c r="K3" s="59"/>
      <c r="L3" s="73">
        <f ca="1">TODAY()</f>
        <v>44001</v>
      </c>
      <c r="N3" s="57"/>
    </row>
    <row r="4" spans="1:14" x14ac:dyDescent="0.2">
      <c r="A4" s="57"/>
      <c r="C4" s="113" t="str">
        <f>Tooltype</f>
        <v>Calculator tool for the German scenario for inland water marinas</v>
      </c>
      <c r="K4" s="1"/>
      <c r="N4" s="57"/>
    </row>
    <row r="5" spans="1:14" x14ac:dyDescent="0.2">
      <c r="A5" s="57"/>
      <c r="K5" s="1"/>
      <c r="N5" s="57"/>
    </row>
    <row r="6" spans="1:14" x14ac:dyDescent="0.2">
      <c r="A6" s="57"/>
      <c r="C6" s="52" t="s">
        <v>74</v>
      </c>
      <c r="D6" t="str">
        <f>Substance</f>
        <v>Copper and pyrithione</v>
      </c>
      <c r="K6" s="1"/>
      <c r="N6" s="57"/>
    </row>
    <row r="7" spans="1:14" x14ac:dyDescent="0.2">
      <c r="A7" s="57"/>
      <c r="C7" s="52" t="s">
        <v>75</v>
      </c>
      <c r="D7" t="str">
        <f>Version</f>
        <v>Version Final 1.1</v>
      </c>
      <c r="K7" s="1"/>
      <c r="N7" s="57"/>
    </row>
    <row r="8" spans="1:14" x14ac:dyDescent="0.2">
      <c r="A8" s="57"/>
      <c r="K8" s="1"/>
      <c r="N8" s="57"/>
    </row>
    <row r="9" spans="1:14" x14ac:dyDescent="0.2">
      <c r="A9" s="57"/>
      <c r="C9" s="147" t="s">
        <v>14</v>
      </c>
      <c r="D9" s="147"/>
      <c r="E9" s="147"/>
      <c r="F9" s="147"/>
      <c r="K9" s="1"/>
      <c r="N9" s="57"/>
    </row>
    <row r="10" spans="1:14" s="56" customFormat="1" x14ac:dyDescent="0.2">
      <c r="A10" s="57"/>
      <c r="B10" s="1"/>
      <c r="C10" s="53"/>
      <c r="J10" s="1"/>
      <c r="K10" s="1"/>
      <c r="N10" s="57"/>
    </row>
    <row r="11" spans="1:14" x14ac:dyDescent="0.2">
      <c r="A11" s="57"/>
      <c r="C11" s="148" t="s">
        <v>82</v>
      </c>
      <c r="D11" s="148"/>
      <c r="E11" s="148"/>
      <c r="F11" s="148"/>
      <c r="K11" s="1"/>
      <c r="N11" s="57"/>
    </row>
    <row r="12" spans="1:14" s="74" customFormat="1" x14ac:dyDescent="0.2">
      <c r="A12" s="57"/>
      <c r="B12" s="1"/>
      <c r="C12" s="85"/>
      <c r="D12" s="85"/>
      <c r="F12" s="106" t="str">
        <f>C_Compound_Name</f>
        <v>Copper</v>
      </c>
      <c r="G12" s="106" t="str">
        <f>P_Compound_Name</f>
        <v>Pyrithione</v>
      </c>
      <c r="J12" s="1"/>
      <c r="K12" s="1"/>
      <c r="N12" s="57"/>
    </row>
    <row r="13" spans="1:14" s="56" customFormat="1" x14ac:dyDescent="0.2">
      <c r="A13" s="57"/>
      <c r="B13" s="1"/>
      <c r="C13" s="56" t="s">
        <v>64</v>
      </c>
      <c r="F13" s="56">
        <f>Application_Factor</f>
        <v>0.9</v>
      </c>
      <c r="G13" s="74">
        <f>Application_Factor</f>
        <v>0.9</v>
      </c>
      <c r="J13" s="1"/>
      <c r="K13" s="1"/>
      <c r="N13" s="57"/>
    </row>
    <row r="14" spans="1:14" s="56" customFormat="1" x14ac:dyDescent="0.2">
      <c r="A14" s="57"/>
      <c r="B14" s="1"/>
      <c r="C14" s="56" t="s">
        <v>81</v>
      </c>
      <c r="F14" s="118">
        <f>IF(ISBLANK(C_Average_biocide_release_over_the_lifetime_of_the_paint_M),C_User_Input!I30,C_Average_biocide_release_over_the_lifetime_of_the_paint_M)</f>
        <v>2.5</v>
      </c>
      <c r="G14" s="118">
        <f>IF(ISBLANK(P_Average_biocide_release_over_the_lifetime_of_the_paint_M),P_User_Input!I30,P_Average_biocide_release_over_the_lifetime_of_the_paint_M)</f>
        <v>2.5</v>
      </c>
      <c r="J14" s="1"/>
      <c r="K14" s="1"/>
      <c r="N14" s="57"/>
    </row>
    <row r="15" spans="1:14" s="56" customFormat="1" x14ac:dyDescent="0.2">
      <c r="A15" s="57"/>
      <c r="B15" s="1"/>
      <c r="J15" s="1"/>
      <c r="K15" s="1"/>
      <c r="N15" s="57"/>
    </row>
    <row r="16" spans="1:14" s="56" customFormat="1" x14ac:dyDescent="0.2">
      <c r="A16" s="57"/>
      <c r="B16" s="1"/>
      <c r="C16" s="148" t="s">
        <v>56</v>
      </c>
      <c r="D16" s="148"/>
      <c r="E16" s="148"/>
      <c r="F16" s="148"/>
      <c r="J16" s="1"/>
      <c r="K16" s="1"/>
      <c r="N16" s="57"/>
    </row>
    <row r="17" spans="1:16" s="74" customFormat="1" x14ac:dyDescent="0.2">
      <c r="A17" s="57"/>
      <c r="B17" s="1"/>
      <c r="C17" s="85"/>
      <c r="D17" s="85"/>
      <c r="F17" s="106" t="str">
        <f>C_Compound_Name</f>
        <v>Copper</v>
      </c>
      <c r="G17" s="106" t="str">
        <f>P_Compound_Name</f>
        <v>Pyrithione</v>
      </c>
      <c r="J17" s="1"/>
      <c r="K17" s="1"/>
      <c r="N17" s="57"/>
    </row>
    <row r="18" spans="1:16" s="56" customFormat="1" x14ac:dyDescent="0.2">
      <c r="A18" s="57"/>
      <c r="B18" s="1"/>
      <c r="C18" s="149" t="s">
        <v>105</v>
      </c>
      <c r="D18" s="149"/>
      <c r="E18" s="149"/>
      <c r="F18" s="119">
        <f>C_PNEC_Aquatic_Inside</f>
        <v>7.8</v>
      </c>
      <c r="G18" s="119">
        <f>P_PNEC_Aquatic_Inside</f>
        <v>1.7600000000000001E-2</v>
      </c>
      <c r="J18" s="1"/>
      <c r="K18" s="1"/>
      <c r="N18" s="57"/>
    </row>
    <row r="19" spans="1:16" s="56" customFormat="1" x14ac:dyDescent="0.2">
      <c r="A19" s="57"/>
      <c r="B19" s="1"/>
      <c r="C19" s="149" t="s">
        <v>104</v>
      </c>
      <c r="D19" s="149"/>
      <c r="E19" s="149"/>
      <c r="F19" s="119">
        <f>C_PNEC_Sediment_Inside</f>
        <v>87</v>
      </c>
      <c r="G19" s="119">
        <f>P_PNEC_Sediment_Inside</f>
        <v>8.5000000000000006E-3</v>
      </c>
      <c r="J19" s="1"/>
      <c r="K19" s="1"/>
      <c r="N19" s="57"/>
    </row>
    <row r="20" spans="1:16" s="56" customFormat="1" x14ac:dyDescent="0.2">
      <c r="A20" s="57"/>
      <c r="B20" s="1"/>
      <c r="C20" s="149" t="s">
        <v>103</v>
      </c>
      <c r="D20" s="149"/>
      <c r="E20" s="149"/>
      <c r="F20" s="119">
        <f>C_PNEC_Aquatic_Surrounding</f>
        <v>7.8</v>
      </c>
      <c r="G20" s="119">
        <f>P_PNEC_Aquatic_Surrounding</f>
        <v>1.7600000000000001E-2</v>
      </c>
      <c r="J20" s="1"/>
      <c r="K20" s="1"/>
      <c r="N20" s="57"/>
    </row>
    <row r="21" spans="1:16" x14ac:dyDescent="0.2">
      <c r="A21" s="57"/>
      <c r="C21" s="149" t="s">
        <v>102</v>
      </c>
      <c r="D21" s="149"/>
      <c r="E21" s="149"/>
      <c r="F21" s="119">
        <f>C_PNEC_Sediment_Surrounding</f>
        <v>87</v>
      </c>
      <c r="G21" s="119">
        <f>P_PNEC_Sediment_Surrounding</f>
        <v>8.5000000000000006E-3</v>
      </c>
      <c r="K21" s="1"/>
      <c r="N21" s="57"/>
    </row>
    <row r="22" spans="1:16" x14ac:dyDescent="0.2">
      <c r="A22" s="57"/>
      <c r="K22" s="1"/>
      <c r="N22" s="57"/>
    </row>
    <row r="23" spans="1:16" x14ac:dyDescent="0.2">
      <c r="A23" s="57"/>
      <c r="C23" s="148" t="s">
        <v>54</v>
      </c>
      <c r="D23" s="148"/>
      <c r="E23" s="148"/>
      <c r="F23" s="148"/>
      <c r="K23" s="1"/>
      <c r="N23" s="57"/>
    </row>
    <row r="24" spans="1:16" s="74" customFormat="1" x14ac:dyDescent="0.2">
      <c r="A24" s="57"/>
      <c r="B24" s="1"/>
      <c r="C24" s="85" t="str">
        <f>C_Compound_Name</f>
        <v>Copper</v>
      </c>
      <c r="D24" s="85"/>
      <c r="E24" s="85"/>
      <c r="F24" s="85"/>
      <c r="J24" s="1"/>
      <c r="K24" s="1"/>
      <c r="N24" s="57"/>
    </row>
    <row r="25" spans="1:16" ht="25.5" x14ac:dyDescent="0.2">
      <c r="A25" s="57"/>
      <c r="E25" s="102" t="s">
        <v>98</v>
      </c>
      <c r="F25" s="102" t="s">
        <v>99</v>
      </c>
      <c r="K25" s="1"/>
      <c r="N25" s="57"/>
    </row>
    <row r="26" spans="1:16" x14ac:dyDescent="0.2">
      <c r="A26" s="57"/>
      <c r="C26" t="s">
        <v>108</v>
      </c>
      <c r="E26" s="103">
        <f>C_Background_SW_Freshwater</f>
        <v>0.88</v>
      </c>
      <c r="F26" s="103">
        <f>C_Background_Sed_Freshwater</f>
        <v>21</v>
      </c>
      <c r="K26" s="1"/>
      <c r="N26" s="57"/>
    </row>
    <row r="27" spans="1:16" s="74" customFormat="1" x14ac:dyDescent="0.2">
      <c r="A27" s="57"/>
      <c r="B27" s="1"/>
      <c r="J27" s="1"/>
      <c r="K27" s="1"/>
      <c r="N27" s="70"/>
      <c r="O27" s="63"/>
      <c r="P27" s="63"/>
    </row>
    <row r="28" spans="1:16" s="74" customFormat="1" x14ac:dyDescent="0.2">
      <c r="A28" s="57"/>
      <c r="B28" s="1"/>
      <c r="C28" s="148" t="s">
        <v>54</v>
      </c>
      <c r="D28" s="148"/>
      <c r="E28" s="148"/>
      <c r="F28" s="148"/>
      <c r="J28" s="1"/>
      <c r="K28" s="1"/>
      <c r="N28" s="70"/>
      <c r="O28" s="63"/>
      <c r="P28" s="63"/>
    </row>
    <row r="29" spans="1:16" s="74" customFormat="1" x14ac:dyDescent="0.2">
      <c r="A29" s="57"/>
      <c r="B29" s="1"/>
      <c r="C29" s="85" t="str">
        <f>P_Compound_Name</f>
        <v>Pyrithione</v>
      </c>
      <c r="D29" s="85"/>
      <c r="E29" s="85"/>
      <c r="F29" s="85"/>
      <c r="J29" s="1"/>
      <c r="K29" s="1"/>
      <c r="N29" s="70"/>
      <c r="O29" s="63"/>
      <c r="P29" s="63"/>
    </row>
    <row r="30" spans="1:16" s="74" customFormat="1" ht="25.5" x14ac:dyDescent="0.2">
      <c r="A30" s="57"/>
      <c r="B30" s="1"/>
      <c r="E30" s="102" t="s">
        <v>98</v>
      </c>
      <c r="F30" s="102" t="s">
        <v>99</v>
      </c>
      <c r="J30" s="1"/>
      <c r="K30" s="1"/>
      <c r="N30" s="70"/>
      <c r="O30" s="63"/>
      <c r="P30" s="63"/>
    </row>
    <row r="31" spans="1:16" s="74" customFormat="1" x14ac:dyDescent="0.2">
      <c r="A31" s="57"/>
      <c r="B31" s="1"/>
      <c r="C31" s="74" t="s">
        <v>184</v>
      </c>
      <c r="E31" s="103">
        <f>P_Background_SW_Freshwater</f>
        <v>0</v>
      </c>
      <c r="F31" s="103">
        <f>P_Background_Sed_Freshwater</f>
        <v>0</v>
      </c>
      <c r="J31" s="1"/>
      <c r="K31" s="1"/>
      <c r="N31" s="70"/>
      <c r="O31" s="63"/>
      <c r="P31" s="63"/>
    </row>
    <row r="32" spans="1:16" x14ac:dyDescent="0.2">
      <c r="A32" s="57"/>
      <c r="K32" s="1"/>
      <c r="N32" s="70"/>
      <c r="O32" s="63"/>
      <c r="P32" s="63"/>
    </row>
    <row r="33" spans="1:25" x14ac:dyDescent="0.2">
      <c r="A33" s="57"/>
      <c r="C33" s="53" t="s">
        <v>78</v>
      </c>
      <c r="K33" s="1"/>
      <c r="N33" s="70"/>
      <c r="O33" s="63"/>
      <c r="P33" s="63"/>
    </row>
    <row r="34" spans="1:25" x14ac:dyDescent="0.2">
      <c r="A34" s="57"/>
      <c r="N34" s="70"/>
      <c r="O34" s="63"/>
      <c r="P34" s="63"/>
    </row>
    <row r="35" spans="1:25" ht="80.099999999999994" customHeight="1" x14ac:dyDescent="0.2">
      <c r="A35" s="57"/>
      <c r="C35" s="145" t="s">
        <v>186</v>
      </c>
      <c r="D35" s="146"/>
      <c r="E35" s="104" t="s">
        <v>112</v>
      </c>
      <c r="F35" s="104" t="s">
        <v>131</v>
      </c>
      <c r="G35" s="104" t="s">
        <v>137</v>
      </c>
      <c r="H35" s="104" t="s">
        <v>132</v>
      </c>
      <c r="J35"/>
      <c r="M35" s="65"/>
      <c r="N35" s="71"/>
      <c r="O35" s="65"/>
      <c r="P35" s="63"/>
      <c r="R35" s="63"/>
      <c r="S35" s="55"/>
      <c r="T35" s="55"/>
      <c r="U35" s="55"/>
      <c r="V35" s="55"/>
    </row>
    <row r="36" spans="1:25" s="74" customFormat="1" ht="14.25" customHeight="1" x14ac:dyDescent="0.2">
      <c r="A36" s="57"/>
      <c r="B36" s="1"/>
      <c r="C36" s="145" t="s">
        <v>185</v>
      </c>
      <c r="D36" s="146"/>
      <c r="E36" s="105">
        <f>'C+P_DE Marinas_Scenario_Cal'!E24</f>
        <v>311.0524313609219</v>
      </c>
      <c r="F36" s="105">
        <f>'C+P_DE Marinas_Scenario_Cal'!F24</f>
        <v>1306.1371058870734</v>
      </c>
      <c r="G36" s="105">
        <f>'C+P_DE Marinas_Scenario_Cal'!G24</f>
        <v>0.28164419968796545</v>
      </c>
      <c r="H36" s="105">
        <f>'C+P_DE Marinas_Scenario_Cal'!H24</f>
        <v>0.69705506537999307</v>
      </c>
      <c r="M36" s="65"/>
      <c r="N36" s="71"/>
      <c r="O36" s="65"/>
      <c r="P36" s="63"/>
      <c r="R36" s="63"/>
      <c r="S36" s="55"/>
      <c r="T36" s="55"/>
      <c r="U36" s="55"/>
      <c r="V36" s="55"/>
    </row>
    <row r="37" spans="1:25" x14ac:dyDescent="0.2">
      <c r="A37" s="57"/>
      <c r="C37" s="145" t="s">
        <v>160</v>
      </c>
      <c r="D37" s="146"/>
      <c r="E37" s="105">
        <f>'C+P_DE Marinas_Scenario_Cal'!E25</f>
        <v>801.91918526229711</v>
      </c>
      <c r="F37" s="105">
        <f>'C+P_DE Marinas_Scenario_Cal'!F25</f>
        <v>13529.950683535004</v>
      </c>
      <c r="G37" s="105">
        <f>'C+P_DE Marinas_Scenario_Cal'!G25</f>
        <v>0.3058095594195589</v>
      </c>
      <c r="H37" s="105">
        <f>'C+P_DE Marinas_Scenario_Cal'!H25</f>
        <v>4.7385880501403568</v>
      </c>
      <c r="J37"/>
      <c r="M37" s="63"/>
      <c r="N37" s="70"/>
      <c r="O37" s="63"/>
      <c r="P37" s="63"/>
      <c r="Q37" s="63"/>
      <c r="R37" s="63"/>
    </row>
    <row r="38" spans="1:25" ht="12.75" customHeight="1" x14ac:dyDescent="0.2">
      <c r="A38" s="57"/>
      <c r="C38" s="145" t="s">
        <v>12</v>
      </c>
      <c r="D38" s="146"/>
      <c r="E38" s="105">
        <f>'C+P_DE Marinas_Scenario_Cal'!E26</f>
        <v>2602.9266245778767</v>
      </c>
      <c r="F38" s="105">
        <f>'C+P_DE Marinas_Scenario_Cal'!F26</f>
        <v>176439.17523096499</v>
      </c>
      <c r="G38" s="105">
        <f>'C+P_DE Marinas_Scenario_Cal'!G26</f>
        <v>0.67368440153161346</v>
      </c>
      <c r="H38" s="105">
        <f>'C+P_DE Marinas_Scenario_Cal'!H26</f>
        <v>62.733637380518758</v>
      </c>
      <c r="J38"/>
      <c r="N38" s="57"/>
    </row>
    <row r="39" spans="1:25" s="74" customFormat="1" ht="12.75" customHeight="1" x14ac:dyDescent="0.2">
      <c r="A39" s="57"/>
      <c r="B39" s="1"/>
      <c r="C39" s="145" t="s">
        <v>13</v>
      </c>
      <c r="D39" s="146"/>
      <c r="E39" s="105">
        <f>'C+P_DE Marinas_Scenario_Cal'!E27</f>
        <v>5.6181991522422203</v>
      </c>
      <c r="F39" s="105">
        <f>'C+P_DE Marinas_Scenario_Cal'!F27</f>
        <v>2.9802038579650088</v>
      </c>
      <c r="G39" s="105">
        <f>'C+P_DE Marinas_Scenario_Cal'!G27</f>
        <v>0.11815509283168919</v>
      </c>
      <c r="H39" s="105">
        <f>'C+P_DE Marinas_Scenario_Cal'!H27</f>
        <v>0.24403313107161267</v>
      </c>
      <c r="N39" s="57"/>
    </row>
    <row r="40" spans="1:25" x14ac:dyDescent="0.2">
      <c r="A40" s="57"/>
      <c r="C40" s="63"/>
      <c r="D40" s="63"/>
      <c r="E40" s="63"/>
      <c r="F40" s="63"/>
      <c r="G40" s="63"/>
      <c r="H40" s="63"/>
      <c r="N40" s="57"/>
    </row>
    <row r="41" spans="1:25" x14ac:dyDescent="0.2">
      <c r="A41" s="57"/>
      <c r="B41" s="57"/>
      <c r="C41" s="58"/>
      <c r="D41" s="57"/>
      <c r="E41" s="57"/>
      <c r="F41" s="57"/>
      <c r="G41" s="57"/>
      <c r="H41" s="57"/>
      <c r="I41" s="57"/>
      <c r="J41" s="57"/>
      <c r="K41" s="57"/>
      <c r="L41" s="57"/>
      <c r="M41" s="57"/>
      <c r="N41" s="57"/>
      <c r="P41" s="64"/>
      <c r="Q41" s="64"/>
      <c r="R41" s="63"/>
      <c r="S41" s="63"/>
      <c r="T41" s="63"/>
      <c r="U41" s="63"/>
      <c r="V41" s="63"/>
      <c r="W41" s="63"/>
      <c r="X41" s="10"/>
      <c r="Y41" s="1"/>
    </row>
    <row r="42" spans="1:25" x14ac:dyDescent="0.2">
      <c r="A42" s="57"/>
      <c r="C42" s="53" t="s">
        <v>79</v>
      </c>
      <c r="N42" s="57"/>
    </row>
    <row r="43" spans="1:25" x14ac:dyDescent="0.2">
      <c r="A43" s="57"/>
      <c r="B43"/>
      <c r="N43" s="57"/>
    </row>
    <row r="44" spans="1:25" s="74" customFormat="1" x14ac:dyDescent="0.2">
      <c r="A44" s="57"/>
      <c r="B44" s="1"/>
      <c r="C44" s="82"/>
      <c r="D44" s="82"/>
      <c r="E44" s="83"/>
      <c r="F44" s="83"/>
      <c r="G44" s="83"/>
      <c r="H44" s="83"/>
      <c r="J44" s="1"/>
      <c r="N44" s="57"/>
    </row>
    <row r="45" spans="1:25" s="56" customFormat="1" x14ac:dyDescent="0.2">
      <c r="A45" s="57"/>
      <c r="C45" s="52" t="s">
        <v>77</v>
      </c>
      <c r="J45" s="1"/>
      <c r="N45" s="57"/>
    </row>
    <row r="46" spans="1:25" x14ac:dyDescent="0.2">
      <c r="A46" s="57"/>
      <c r="C46" t="s">
        <v>83</v>
      </c>
      <c r="N46" s="57"/>
    </row>
    <row r="47" spans="1:25" ht="105.95" customHeight="1" x14ac:dyDescent="0.2">
      <c r="A47" s="57"/>
      <c r="C47" s="54" t="s">
        <v>8</v>
      </c>
      <c r="D47" s="130" t="s">
        <v>9</v>
      </c>
      <c r="E47" s="104" t="s">
        <v>112</v>
      </c>
      <c r="F47" s="104" t="s">
        <v>131</v>
      </c>
      <c r="G47" s="104" t="s">
        <v>137</v>
      </c>
      <c r="H47" s="104" t="s">
        <v>132</v>
      </c>
      <c r="N47" s="57"/>
    </row>
    <row r="48" spans="1:25" x14ac:dyDescent="0.2">
      <c r="A48" s="57"/>
      <c r="C48" s="107" t="s">
        <v>196</v>
      </c>
      <c r="D48" s="107" t="s">
        <v>11</v>
      </c>
      <c r="E48" s="105">
        <f>'C+P_DE Marinas_Scenario_Cal'!E7</f>
        <v>2227.9911369859174</v>
      </c>
      <c r="F48" s="105">
        <f>'C+P_DE Marinas_Scenario_Cal'!F7</f>
        <v>1360.3982879591854</v>
      </c>
      <c r="G48" s="105">
        <f>'C+P_DE Marinas_Scenario_Cal'!G7</f>
        <v>0.36696027162959088</v>
      </c>
      <c r="H48" s="105">
        <f>'C+P_DE Marinas_Scenario_Cal'!H7</f>
        <v>0.39664870474240432</v>
      </c>
      <c r="N48" s="57"/>
    </row>
    <row r="49" spans="1:14" x14ac:dyDescent="0.2">
      <c r="A49" s="57"/>
      <c r="C49" s="107" t="s">
        <v>197</v>
      </c>
      <c r="D49" s="107" t="s">
        <v>11</v>
      </c>
      <c r="E49" s="105">
        <f>'C+P_DE Marinas_Scenario_Cal'!E8</f>
        <v>248.11528913302928</v>
      </c>
      <c r="F49" s="105">
        <f>'C+P_DE Marinas_Scenario_Cal'!F8</f>
        <v>1306.1371058870734</v>
      </c>
      <c r="G49" s="105">
        <f>'C+P_DE Marinas_Scenario_Cal'!G8</f>
        <v>0.18083881054191622</v>
      </c>
      <c r="H49" s="105">
        <f>'C+P_DE Marinas_Scenario_Cal'!H8</f>
        <v>0.59953905236836891</v>
      </c>
      <c r="N49" s="57"/>
    </row>
    <row r="50" spans="1:14" x14ac:dyDescent="0.2">
      <c r="A50" s="57"/>
      <c r="C50" s="107" t="s">
        <v>198</v>
      </c>
      <c r="D50" s="107" t="s">
        <v>11</v>
      </c>
      <c r="E50" s="105">
        <f>'C+P_DE Marinas_Scenario_Cal'!E9</f>
        <v>1562.7578169230289</v>
      </c>
      <c r="F50" s="105">
        <f>'C+P_DE Marinas_Scenario_Cal'!F9</f>
        <v>16286.851395029449</v>
      </c>
      <c r="G50" s="105">
        <f>'C+P_DE Marinas_Scenario_Cal'!G9</f>
        <v>0.41078331168851434</v>
      </c>
      <c r="H50" s="105">
        <f>'C+P_DE Marinas_Scenario_Cal'!H9</f>
        <v>3.3462418167165864</v>
      </c>
      <c r="N50" s="57"/>
    </row>
    <row r="51" spans="1:14" x14ac:dyDescent="0.2">
      <c r="A51" s="57"/>
      <c r="C51" s="107" t="s">
        <v>199</v>
      </c>
      <c r="D51" s="107" t="s">
        <v>11</v>
      </c>
      <c r="E51" s="105">
        <f>'C+P_DE Marinas_Scenario_Cal'!E10</f>
        <v>582.94485477647845</v>
      </c>
      <c r="F51" s="105">
        <f>'C+P_DE Marinas_Scenario_Cal'!F10</f>
        <v>12009.466115779971</v>
      </c>
      <c r="G51" s="105">
        <f>'C+P_DE Marinas_Scenario_Cal'!G10</f>
        <v>0.25937349480188765</v>
      </c>
      <c r="H51" s="105">
        <f>'C+P_DE Marinas_Scenario_Cal'!H10</f>
        <v>3.2639597951250603</v>
      </c>
      <c r="N51" s="57"/>
    </row>
    <row r="52" spans="1:14" x14ac:dyDescent="0.2">
      <c r="A52" s="57"/>
      <c r="C52" s="107" t="s">
        <v>200</v>
      </c>
      <c r="D52" s="107" t="s">
        <v>11</v>
      </c>
      <c r="E52" s="105">
        <f>'C+P_DE Marinas_Scenario_Cal'!E11</f>
        <v>120.48605531353023</v>
      </c>
      <c r="F52" s="105">
        <f>'C+P_DE Marinas_Scenario_Cal'!F11</f>
        <v>2376.3923082038145</v>
      </c>
      <c r="G52" s="105">
        <f>'C+P_DE Marinas_Scenario_Cal'!G11</f>
        <v>0.13876852336827086</v>
      </c>
      <c r="H52" s="105">
        <f>'C+P_DE Marinas_Scenario_Cal'!H11</f>
        <v>0.75378477764911778</v>
      </c>
      <c r="N52" s="57"/>
    </row>
    <row r="53" spans="1:14" x14ac:dyDescent="0.2">
      <c r="A53" s="57"/>
      <c r="C53" s="107" t="s">
        <v>201</v>
      </c>
      <c r="D53" s="107" t="s">
        <v>11</v>
      </c>
      <c r="E53" s="105">
        <f>'C+P_DE Marinas_Scenario_Cal'!E12</f>
        <v>165.85493590497538</v>
      </c>
      <c r="F53" s="105">
        <f>'C+P_DE Marinas_Scenario_Cal'!F12</f>
        <v>719.32764871538973</v>
      </c>
      <c r="G53" s="105">
        <f>'C+P_DE Marinas_Scenario_Cal'!G12</f>
        <v>0.21345604463023221</v>
      </c>
      <c r="H53" s="105">
        <f>'C+P_DE Marinas_Scenario_Cal'!H12</f>
        <v>0.67799171618643883</v>
      </c>
      <c r="N53" s="57"/>
    </row>
    <row r="54" spans="1:14" x14ac:dyDescent="0.2">
      <c r="A54" s="57"/>
      <c r="C54" s="107" t="s">
        <v>202</v>
      </c>
      <c r="D54" s="107" t="s">
        <v>11</v>
      </c>
      <c r="E54" s="105">
        <f>'C+P_DE Marinas_Scenario_Cal'!E13</f>
        <v>311.0524313609219</v>
      </c>
      <c r="F54" s="105">
        <f>'C+P_DE Marinas_Scenario_Cal'!F13</f>
        <v>125.18742571692873</v>
      </c>
      <c r="G54" s="105">
        <f>'C+P_DE Marinas_Scenario_Cal'!G13</f>
        <v>0.30675313638439788</v>
      </c>
      <c r="H54" s="105">
        <f>'C+P_DE Marinas_Scenario_Cal'!H13</f>
        <v>0.31931954142785746</v>
      </c>
      <c r="N54" s="57"/>
    </row>
    <row r="55" spans="1:14" x14ac:dyDescent="0.2">
      <c r="A55" s="57"/>
      <c r="C55" s="107" t="s">
        <v>204</v>
      </c>
      <c r="D55" s="107" t="s">
        <v>11</v>
      </c>
      <c r="E55" s="105">
        <f>'C+P_DE Marinas_Scenario_Cal'!E14</f>
        <v>610.27001803940982</v>
      </c>
      <c r="F55" s="105">
        <f>'C+P_DE Marinas_Scenario_Cal'!F14</f>
        <v>176439.17523096499</v>
      </c>
      <c r="G55" s="105">
        <f>'C+P_DE Marinas_Scenario_Cal'!G14</f>
        <v>0.32892181241188101</v>
      </c>
      <c r="H55" s="105">
        <f>'C+P_DE Marinas_Scenario_Cal'!H14</f>
        <v>62.733637380518758</v>
      </c>
      <c r="N55" s="57"/>
    </row>
    <row r="56" spans="1:14" x14ac:dyDescent="0.2">
      <c r="A56" s="57"/>
      <c r="C56" s="107" t="s">
        <v>206</v>
      </c>
      <c r="D56" s="107" t="s">
        <v>11</v>
      </c>
      <c r="E56" s="105">
        <f>'C+P_DE Marinas_Scenario_Cal'!E15</f>
        <v>182.41571361040479</v>
      </c>
      <c r="F56" s="105">
        <f>'C+P_DE Marinas_Scenario_Cal'!F15</f>
        <v>596.03513795971094</v>
      </c>
      <c r="G56" s="105">
        <f>'C+P_DE Marinas_Scenario_Cal'!G15</f>
        <v>0.44960106862252669</v>
      </c>
      <c r="H56" s="105">
        <f>'C+P_DE Marinas_Scenario_Cal'!H15</f>
        <v>1.3420333226824881</v>
      </c>
      <c r="N56" s="57"/>
    </row>
    <row r="57" spans="1:14" x14ac:dyDescent="0.2">
      <c r="A57" s="57"/>
      <c r="C57" s="107" t="s">
        <v>207</v>
      </c>
      <c r="D57" s="107" t="s">
        <v>11</v>
      </c>
      <c r="E57" s="105">
        <f>'C+P_DE Marinas_Scenario_Cal'!E16</f>
        <v>5.6181991522422203</v>
      </c>
      <c r="F57" s="105">
        <f>'C+P_DE Marinas_Scenario_Cal'!F16</f>
        <v>2.9802038579650088</v>
      </c>
      <c r="G57" s="105">
        <f>'C+P_DE Marinas_Scenario_Cal'!G16</f>
        <v>0.11815509283168919</v>
      </c>
      <c r="H57" s="105">
        <f>'C+P_DE Marinas_Scenario_Cal'!H16</f>
        <v>0.24403313107161267</v>
      </c>
      <c r="N57" s="57"/>
    </row>
    <row r="58" spans="1:14" x14ac:dyDescent="0.2">
      <c r="A58" s="57"/>
      <c r="C58" s="107" t="s">
        <v>208</v>
      </c>
      <c r="D58" s="107" t="s">
        <v>11</v>
      </c>
      <c r="E58" s="105">
        <f>'C+P_DE Marinas_Scenario_Cal'!E17</f>
        <v>1991.2491668067767</v>
      </c>
      <c r="F58" s="105">
        <f>'C+P_DE Marinas_Scenario_Cal'!F17</f>
        <v>8716.6474466760592</v>
      </c>
      <c r="G58" s="105">
        <f>'C+P_DE Marinas_Scenario_Cal'!G17</f>
        <v>0.67368440153161346</v>
      </c>
      <c r="H58" s="105">
        <f>'C+P_DE Marinas_Scenario_Cal'!H17</f>
        <v>2.696524767955728</v>
      </c>
      <c r="N58" s="57"/>
    </row>
    <row r="59" spans="1:14" x14ac:dyDescent="0.2">
      <c r="A59" s="57"/>
      <c r="C59" s="107" t="s">
        <v>209</v>
      </c>
      <c r="D59" s="107" t="s">
        <v>11</v>
      </c>
      <c r="E59" s="105">
        <f>'C+P_DE Marinas_Scenario_Cal'!E18</f>
        <v>904.62131975600346</v>
      </c>
      <c r="F59" s="105">
        <f>'C+P_DE Marinas_Scenario_Cal'!F18</f>
        <v>1704.4398174560724</v>
      </c>
      <c r="G59" s="105">
        <f>'C+P_DE Marinas_Scenario_Cal'!G18</f>
        <v>0.60023077079099119</v>
      </c>
      <c r="H59" s="105">
        <f>'C+P_DE Marinas_Scenario_Cal'!H18</f>
        <v>1.159717252706298</v>
      </c>
      <c r="N59" s="57"/>
    </row>
    <row r="60" spans="1:14" x14ac:dyDescent="0.2">
      <c r="A60" s="57"/>
      <c r="C60" s="107" t="s">
        <v>210</v>
      </c>
      <c r="D60" s="107" t="s">
        <v>11</v>
      </c>
      <c r="E60" s="105">
        <f>'C+P_DE Marinas_Scenario_Cal'!E19</f>
        <v>156.749102994743</v>
      </c>
      <c r="F60" s="105">
        <f>'C+P_DE Marinas_Scenario_Cal'!F19</f>
        <v>1012.7190106049878</v>
      </c>
      <c r="G60" s="105">
        <f>'C+P_DE Marinas_Scenario_Cal'!G19</f>
        <v>0.18331682825714615</v>
      </c>
      <c r="H60" s="105">
        <f>'C+P_DE Marinas_Scenario_Cal'!H19</f>
        <v>0.69705506537999307</v>
      </c>
      <c r="N60" s="57"/>
    </row>
    <row r="61" spans="1:14" x14ac:dyDescent="0.2">
      <c r="A61" s="57"/>
      <c r="C61" s="107" t="s">
        <v>211</v>
      </c>
      <c r="D61" s="107" t="s">
        <v>11</v>
      </c>
      <c r="E61" s="105">
        <f>'C+P_DE Marinas_Scenario_Cal'!E20</f>
        <v>158.72846668418168</v>
      </c>
      <c r="F61" s="105">
        <f>'C+P_DE Marinas_Scenario_Cal'!F20</f>
        <v>37.517487669038111</v>
      </c>
      <c r="G61" s="105">
        <f>'C+P_DE Marinas_Scenario_Cal'!G20</f>
        <v>0.141058950314983</v>
      </c>
      <c r="H61" s="105">
        <f>'C+P_DE Marinas_Scenario_Cal'!H20</f>
        <v>0.24801560238056264</v>
      </c>
      <c r="N61" s="57"/>
    </row>
    <row r="62" spans="1:14" x14ac:dyDescent="0.2">
      <c r="A62" s="57"/>
      <c r="C62" s="107" t="s">
        <v>212</v>
      </c>
      <c r="D62" s="107" t="s">
        <v>11</v>
      </c>
      <c r="E62" s="105">
        <f>'C+P_DE Marinas_Scenario_Cal'!E21</f>
        <v>1643.112362244505</v>
      </c>
      <c r="F62" s="105">
        <f>'C+P_DE Marinas_Scenario_Cal'!F21</f>
        <v>955.03411513878802</v>
      </c>
      <c r="G62" s="105">
        <f>'C+P_DE Marinas_Scenario_Cal'!G21</f>
        <v>0.20823883467974508</v>
      </c>
      <c r="H62" s="105">
        <f>'C+P_DE Marinas_Scenario_Cal'!H21</f>
        <v>0.29685218827321191</v>
      </c>
      <c r="N62" s="57"/>
    </row>
    <row r="63" spans="1:14" x14ac:dyDescent="0.2">
      <c r="A63" s="57"/>
      <c r="C63" s="107" t="s">
        <v>213</v>
      </c>
      <c r="D63" s="107" t="s">
        <v>11</v>
      </c>
      <c r="E63" s="105">
        <f>'C+P_DE Marinas_Scenario_Cal'!E22</f>
        <v>2602.9266245778767</v>
      </c>
      <c r="F63" s="105">
        <f>'C+P_DE Marinas_Scenario_Cal'!F22</f>
        <v>5708.3266203043941</v>
      </c>
      <c r="G63" s="105">
        <f>'C+P_DE Marinas_Scenario_Cal'!G22</f>
        <v>0.28164419968796545</v>
      </c>
      <c r="H63" s="105">
        <f>'C+P_DE Marinas_Scenario_Cal'!H22</f>
        <v>0.61162793398952153</v>
      </c>
      <c r="N63" s="57"/>
    </row>
    <row r="64" spans="1:14" x14ac:dyDescent="0.2">
      <c r="A64" s="57"/>
      <c r="C64" s="107" t="s">
        <v>214</v>
      </c>
      <c r="D64" s="107" t="s">
        <v>11</v>
      </c>
      <c r="E64" s="105">
        <f>'C+P_DE Marinas_Scenario_Cal'!E23</f>
        <v>157.73265519502425</v>
      </c>
      <c r="F64" s="105">
        <f>'C+P_DE Marinas_Scenario_Cal'!F23</f>
        <v>652.52626217127045</v>
      </c>
      <c r="G64" s="105">
        <f>'C+P_DE Marinas_Scenario_Cal'!G23</f>
        <v>0.33697695795914889</v>
      </c>
      <c r="H64" s="105">
        <f>'C+P_DE Marinas_Scenario_Cal'!H23</f>
        <v>1.1690148032120535</v>
      </c>
      <c r="N64" s="57"/>
    </row>
    <row r="65" spans="1:14" x14ac:dyDescent="0.2">
      <c r="A65" s="57"/>
      <c r="B65"/>
      <c r="N65" s="57"/>
    </row>
    <row r="66" spans="1:14" x14ac:dyDescent="0.2">
      <c r="A66" s="57"/>
      <c r="B66" s="57"/>
      <c r="C66" s="57"/>
      <c r="D66" s="57"/>
      <c r="E66" s="57"/>
      <c r="F66" s="57"/>
      <c r="G66" s="57"/>
      <c r="H66" s="57"/>
      <c r="I66" s="57"/>
      <c r="J66" s="57"/>
      <c r="K66" s="57"/>
      <c r="L66" s="57"/>
      <c r="M66" s="57"/>
      <c r="N66" s="57"/>
    </row>
    <row r="67" spans="1:14" hidden="1" x14ac:dyDescent="0.2"/>
    <row r="68" spans="1:14" hidden="1" x14ac:dyDescent="0.2"/>
    <row r="69" spans="1:14" hidden="1" x14ac:dyDescent="0.2"/>
    <row r="70" spans="1:14" hidden="1" x14ac:dyDescent="0.2"/>
    <row r="71" spans="1:14" hidden="1" x14ac:dyDescent="0.2"/>
    <row r="72" spans="1:14" hidden="1" x14ac:dyDescent="0.2"/>
    <row r="73" spans="1:14" hidden="1" x14ac:dyDescent="0.2"/>
    <row r="74" spans="1:14" hidden="1" x14ac:dyDescent="0.2"/>
    <row r="75" spans="1:14" hidden="1" x14ac:dyDescent="0.2"/>
    <row r="76" spans="1:14" hidden="1" x14ac:dyDescent="0.2"/>
    <row r="77" spans="1:14" hidden="1" x14ac:dyDescent="0.2"/>
    <row r="78" spans="1:14" hidden="1" x14ac:dyDescent="0.2"/>
    <row r="79" spans="1:14" hidden="1" x14ac:dyDescent="0.2"/>
    <row r="80" spans="1:14"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row r="398" x14ac:dyDescent="0.2"/>
    <row r="399" x14ac:dyDescent="0.2"/>
    <row r="400" x14ac:dyDescent="0.2"/>
    <row r="401" x14ac:dyDescent="0.2"/>
    <row r="402" x14ac:dyDescent="0.2"/>
    <row r="403" x14ac:dyDescent="0.2"/>
    <row r="404" x14ac:dyDescent="0.2"/>
  </sheetData>
  <mergeCells count="14">
    <mergeCell ref="C39:D39"/>
    <mergeCell ref="C9:F9"/>
    <mergeCell ref="C11:F11"/>
    <mergeCell ref="C16:F16"/>
    <mergeCell ref="C23:F23"/>
    <mergeCell ref="C20:E20"/>
    <mergeCell ref="C21:E21"/>
    <mergeCell ref="C18:E18"/>
    <mergeCell ref="C19:E19"/>
    <mergeCell ref="C35:D35"/>
    <mergeCell ref="C37:D37"/>
    <mergeCell ref="C38:D38"/>
    <mergeCell ref="C28:F28"/>
    <mergeCell ref="C36:D36"/>
  </mergeCells>
  <conditionalFormatting sqref="E48:H64">
    <cfRule type="cellIs" dxfId="23" priority="3" operator="greaterThan">
      <formula>1</formula>
    </cfRule>
  </conditionalFormatting>
  <conditionalFormatting sqref="E36:H39">
    <cfRule type="cellIs" dxfId="22" priority="1" operator="greaterThan">
      <formula>1</formula>
    </cfRule>
  </conditionalFormatting>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4.9989318521683403E-2"/>
  </sheetPr>
  <dimension ref="A1:Z397"/>
  <sheetViews>
    <sheetView topLeftCell="A27" zoomScale="85" zoomScaleNormal="85" workbookViewId="0">
      <selection activeCell="C39" sqref="C39:C107"/>
    </sheetView>
  </sheetViews>
  <sheetFormatPr baseColWidth="10" defaultColWidth="0" defaultRowHeight="12.75" zeroHeight="1" x14ac:dyDescent="0.2"/>
  <cols>
    <col min="1" max="2" width="3.125" style="1" customWidth="1"/>
    <col min="3" max="3" width="47.375" style="74" bestFit="1" customWidth="1"/>
    <col min="4" max="4" width="3.625" style="74" customWidth="1"/>
    <col min="5" max="9" width="16.625" style="74" customWidth="1"/>
    <col min="10" max="10" width="16.625" style="1" customWidth="1"/>
    <col min="11" max="12" width="16.625" style="74" customWidth="1"/>
    <col min="13" max="13" width="3.125" style="74" customWidth="1"/>
    <col min="14" max="14" width="3" style="74" customWidth="1"/>
    <col min="15" max="15" width="12.75" style="74" hidden="1" customWidth="1"/>
    <col min="16" max="16" width="12.25" style="74" hidden="1" customWidth="1"/>
    <col min="17" max="17" width="12.5" style="74" hidden="1" customWidth="1"/>
    <col min="18" max="18" width="12.25" style="74" hidden="1" customWidth="1"/>
    <col min="19" max="26" width="0" style="74" hidden="1" customWidth="1"/>
    <col min="27" max="16384" width="9" style="74" hidden="1"/>
  </cols>
  <sheetData>
    <row r="1" spans="1:14" x14ac:dyDescent="0.2">
      <c r="A1" s="57"/>
      <c r="B1" s="57"/>
      <c r="C1" s="57"/>
      <c r="D1" s="57"/>
      <c r="E1" s="57"/>
      <c r="F1" s="57"/>
      <c r="G1" s="57"/>
      <c r="H1" s="57"/>
      <c r="I1" s="57"/>
      <c r="J1" s="57"/>
      <c r="K1" s="57"/>
      <c r="L1" s="57"/>
      <c r="M1" s="57"/>
      <c r="N1" s="57"/>
    </row>
    <row r="2" spans="1:14" x14ac:dyDescent="0.2">
      <c r="A2" s="57"/>
      <c r="K2" s="1"/>
      <c r="N2" s="57"/>
    </row>
    <row r="3" spans="1:14" x14ac:dyDescent="0.2">
      <c r="A3" s="57"/>
      <c r="C3" s="51" t="s">
        <v>73</v>
      </c>
      <c r="D3" s="51"/>
      <c r="E3" s="51"/>
      <c r="F3" s="51"/>
      <c r="G3" s="51"/>
      <c r="H3" s="51"/>
      <c r="I3" s="51"/>
      <c r="J3" s="59"/>
      <c r="K3" s="59"/>
      <c r="L3" s="73">
        <f ca="1">TODAY()</f>
        <v>44001</v>
      </c>
      <c r="N3" s="57"/>
    </row>
    <row r="4" spans="1:14" x14ac:dyDescent="0.2">
      <c r="A4" s="57"/>
      <c r="C4" s="113" t="str">
        <f>Tooltype</f>
        <v>Calculator tool for the German scenario for inland water marinas</v>
      </c>
      <c r="K4" s="1"/>
      <c r="N4" s="57"/>
    </row>
    <row r="5" spans="1:14" x14ac:dyDescent="0.2">
      <c r="A5" s="57"/>
      <c r="K5" s="1"/>
      <c r="N5" s="57"/>
    </row>
    <row r="6" spans="1:14" x14ac:dyDescent="0.2">
      <c r="A6" s="57"/>
      <c r="C6" s="52" t="s">
        <v>74</v>
      </c>
      <c r="D6" s="74" t="str">
        <f>C_Compound_Name</f>
        <v>Copper</v>
      </c>
      <c r="K6" s="1"/>
      <c r="N6" s="57"/>
    </row>
    <row r="7" spans="1:14" x14ac:dyDescent="0.2">
      <c r="A7" s="57"/>
      <c r="C7" s="52" t="s">
        <v>75</v>
      </c>
      <c r="D7" s="74" t="str">
        <f>Version</f>
        <v>Version Final 1.1</v>
      </c>
      <c r="K7" s="1"/>
      <c r="N7" s="57"/>
    </row>
    <row r="8" spans="1:14" x14ac:dyDescent="0.2">
      <c r="A8" s="57"/>
      <c r="K8" s="1"/>
      <c r="N8" s="57"/>
    </row>
    <row r="9" spans="1:14" x14ac:dyDescent="0.2">
      <c r="A9" s="57"/>
      <c r="C9" s="147" t="s">
        <v>14</v>
      </c>
      <c r="D9" s="147"/>
      <c r="E9" s="147"/>
      <c r="F9" s="147"/>
      <c r="K9" s="1"/>
      <c r="N9" s="57"/>
    </row>
    <row r="10" spans="1:14" x14ac:dyDescent="0.2">
      <c r="A10" s="57"/>
      <c r="C10" s="53"/>
      <c r="K10" s="1"/>
      <c r="N10" s="57"/>
    </row>
    <row r="11" spans="1:14" x14ac:dyDescent="0.2">
      <c r="A11" s="57"/>
      <c r="C11" s="148" t="s">
        <v>82</v>
      </c>
      <c r="D11" s="148"/>
      <c r="E11" s="148"/>
      <c r="F11" s="148"/>
      <c r="K11" s="1"/>
      <c r="N11" s="57"/>
    </row>
    <row r="12" spans="1:14" x14ac:dyDescent="0.2">
      <c r="A12" s="57"/>
      <c r="C12" s="74" t="s">
        <v>64</v>
      </c>
      <c r="E12" s="74">
        <f>Application_Factor</f>
        <v>0.9</v>
      </c>
      <c r="K12" s="1"/>
      <c r="N12" s="57"/>
    </row>
    <row r="13" spans="1:14" x14ac:dyDescent="0.2">
      <c r="A13" s="57"/>
      <c r="C13" s="74" t="s">
        <v>81</v>
      </c>
      <c r="E13" s="118">
        <f>IF(ISBLANK(C_Average_biocide_release_over_the_lifetime_of_the_paint_M),C_User_Input!I30,C_Average_biocide_release_over_the_lifetime_of_the_paint_M)</f>
        <v>2.5</v>
      </c>
      <c r="K13" s="1"/>
      <c r="N13" s="57"/>
    </row>
    <row r="14" spans="1:14" x14ac:dyDescent="0.2">
      <c r="A14" s="57"/>
      <c r="K14" s="1"/>
      <c r="N14" s="57"/>
    </row>
    <row r="15" spans="1:14" x14ac:dyDescent="0.2">
      <c r="A15" s="57"/>
      <c r="C15" s="148" t="s">
        <v>56</v>
      </c>
      <c r="D15" s="148"/>
      <c r="E15" s="148"/>
      <c r="F15" s="148"/>
      <c r="K15" s="1"/>
      <c r="N15" s="57"/>
    </row>
    <row r="16" spans="1:14" x14ac:dyDescent="0.2">
      <c r="A16" s="57"/>
      <c r="C16" s="149" t="s">
        <v>105</v>
      </c>
      <c r="D16" s="149"/>
      <c r="E16" s="149"/>
      <c r="F16" s="119">
        <f>C_PNEC_Aquatic_Inside</f>
        <v>7.8</v>
      </c>
      <c r="K16" s="1"/>
      <c r="N16" s="57"/>
    </row>
    <row r="17" spans="1:22" x14ac:dyDescent="0.2">
      <c r="A17" s="57"/>
      <c r="C17" s="149" t="s">
        <v>104</v>
      </c>
      <c r="D17" s="149"/>
      <c r="E17" s="149"/>
      <c r="F17" s="119">
        <f>C_PNEC_Sediment_Inside</f>
        <v>87</v>
      </c>
      <c r="K17" s="1"/>
      <c r="N17" s="57"/>
    </row>
    <row r="18" spans="1:22" x14ac:dyDescent="0.2">
      <c r="A18" s="57"/>
      <c r="C18" s="149" t="s">
        <v>103</v>
      </c>
      <c r="D18" s="149"/>
      <c r="E18" s="149"/>
      <c r="F18" s="119">
        <f>C_PNEC_Aquatic_Surrounding</f>
        <v>7.8</v>
      </c>
      <c r="K18" s="1"/>
      <c r="N18" s="57"/>
    </row>
    <row r="19" spans="1:22" x14ac:dyDescent="0.2">
      <c r="A19" s="57"/>
      <c r="C19" s="149" t="s">
        <v>102</v>
      </c>
      <c r="D19" s="149"/>
      <c r="E19" s="149"/>
      <c r="F19" s="119">
        <f>C_PNEC_Sediment_Surrounding</f>
        <v>87</v>
      </c>
      <c r="K19" s="1"/>
      <c r="N19" s="57"/>
    </row>
    <row r="20" spans="1:22" x14ac:dyDescent="0.2">
      <c r="A20" s="57"/>
      <c r="K20" s="1"/>
      <c r="N20" s="57"/>
    </row>
    <row r="21" spans="1:22" x14ac:dyDescent="0.2">
      <c r="A21" s="57"/>
      <c r="C21" s="148" t="s">
        <v>54</v>
      </c>
      <c r="D21" s="148"/>
      <c r="E21" s="148"/>
      <c r="F21" s="148"/>
      <c r="K21" s="1"/>
      <c r="N21" s="57"/>
    </row>
    <row r="22" spans="1:22" ht="25.5" x14ac:dyDescent="0.2">
      <c r="A22" s="57"/>
      <c r="E22" s="102" t="s">
        <v>98</v>
      </c>
      <c r="F22" s="102" t="s">
        <v>99</v>
      </c>
      <c r="K22" s="1"/>
      <c r="N22" s="57"/>
    </row>
    <row r="23" spans="1:22" x14ac:dyDescent="0.2">
      <c r="A23" s="57"/>
      <c r="C23" s="74" t="s">
        <v>184</v>
      </c>
      <c r="E23" s="103">
        <f>C_Background_SW_Freshwater</f>
        <v>0.88</v>
      </c>
      <c r="F23" s="103">
        <f>C_Background_Sed_Freshwater</f>
        <v>21</v>
      </c>
      <c r="K23" s="1"/>
      <c r="N23" s="57"/>
    </row>
    <row r="24" spans="1:22" x14ac:dyDescent="0.2">
      <c r="A24" s="57"/>
      <c r="K24" s="1"/>
      <c r="N24" s="70"/>
      <c r="O24" s="63"/>
      <c r="P24" s="63"/>
    </row>
    <row r="25" spans="1:22" x14ac:dyDescent="0.2">
      <c r="A25" s="57"/>
      <c r="K25" s="1"/>
      <c r="N25" s="70"/>
      <c r="O25" s="63"/>
      <c r="P25" s="63"/>
    </row>
    <row r="26" spans="1:22" x14ac:dyDescent="0.2">
      <c r="A26" s="57"/>
      <c r="C26" s="53" t="s">
        <v>78</v>
      </c>
      <c r="K26" s="1"/>
      <c r="N26" s="70"/>
      <c r="O26" s="63"/>
      <c r="P26" s="63"/>
    </row>
    <row r="27" spans="1:22" x14ac:dyDescent="0.2">
      <c r="A27" s="57"/>
      <c r="N27" s="70"/>
      <c r="O27" s="63"/>
      <c r="P27" s="63"/>
    </row>
    <row r="28" spans="1:22" ht="80.099999999999994" customHeight="1" x14ac:dyDescent="0.2">
      <c r="A28" s="57"/>
      <c r="C28" s="145" t="s">
        <v>184</v>
      </c>
      <c r="D28" s="146"/>
      <c r="E28" s="104" t="s">
        <v>133</v>
      </c>
      <c r="F28" s="104" t="s">
        <v>134</v>
      </c>
      <c r="G28" s="104" t="s">
        <v>135</v>
      </c>
      <c r="H28" s="104" t="s">
        <v>136</v>
      </c>
      <c r="I28" s="104" t="s">
        <v>58</v>
      </c>
      <c r="J28" s="104" t="s">
        <v>128</v>
      </c>
      <c r="K28" s="104" t="s">
        <v>129</v>
      </c>
      <c r="L28" s="104" t="s">
        <v>130</v>
      </c>
      <c r="M28" s="65"/>
      <c r="N28" s="71"/>
      <c r="O28" s="65"/>
      <c r="P28" s="63"/>
      <c r="R28" s="63"/>
      <c r="S28" s="55"/>
      <c r="T28" s="55"/>
      <c r="U28" s="55"/>
      <c r="V28" s="55"/>
    </row>
    <row r="29" spans="1:22" ht="12.75" customHeight="1" x14ac:dyDescent="0.2">
      <c r="A29" s="57"/>
      <c r="C29" s="126" t="s">
        <v>187</v>
      </c>
      <c r="D29" s="127"/>
      <c r="E29" s="105">
        <f>'C_DE Marinas_Scenario_Calc'!J38</f>
        <v>4.6998481165116317</v>
      </c>
      <c r="F29" s="105">
        <f>'C_DE Marinas_Scenario_Calc'!K38</f>
        <v>136.53512797079179</v>
      </c>
      <c r="G29" s="105">
        <f>'C_DE Marinas_Scenario_Calc'!L38</f>
        <v>0.88185160566887666</v>
      </c>
      <c r="H29" s="105">
        <f>'C_DE Marinas_Scenario_Calc'!M38</f>
        <v>21.056003665599285</v>
      </c>
      <c r="I29" s="105">
        <f>'C_DE Marinas_Scenario_Calc'!R38</f>
        <v>0.60254463032200412</v>
      </c>
      <c r="J29" s="105">
        <f>'C_DE Marinas_Scenario_Calc'!S38</f>
        <v>1.5693692870205953</v>
      </c>
      <c r="K29" s="105">
        <f>'C_DE Marinas_Scenario_Calc'!T38</f>
        <v>0.1130578981626765</v>
      </c>
      <c r="L29" s="105">
        <f>'C_DE Marinas_Scenario_Calc'!U38</f>
        <v>0.24202303063907224</v>
      </c>
      <c r="M29" s="65"/>
      <c r="N29" s="71"/>
      <c r="O29" s="65"/>
      <c r="P29" s="63"/>
      <c r="R29" s="63"/>
      <c r="S29" s="55"/>
      <c r="T29" s="55"/>
      <c r="U29" s="55"/>
      <c r="V29" s="55"/>
    </row>
    <row r="30" spans="1:22" x14ac:dyDescent="0.2">
      <c r="A30" s="57"/>
      <c r="C30" s="145" t="s">
        <v>160</v>
      </c>
      <c r="D30" s="146"/>
      <c r="E30" s="105">
        <f>'C_DE Marinas_Scenario_Calc'!J39</f>
        <v>10.007816619835916</v>
      </c>
      <c r="F30" s="105">
        <f>'C_DE Marinas_Scenario_Calc'!K39</f>
        <v>297.0799445786605</v>
      </c>
      <c r="G30" s="105">
        <f>'C_DE Marinas_Scenario_Calc'!L39</f>
        <v>0.88277673864398365</v>
      </c>
      <c r="H30" s="105">
        <f>'C_DE Marinas_Scenario_Calc'!M39</f>
        <v>21.083985237817814</v>
      </c>
      <c r="I30" s="105">
        <f>'C_DE Marinas_Scenario_Calc'!R39</f>
        <v>1.2830534127994764</v>
      </c>
      <c r="J30" s="105">
        <f>'C_DE Marinas_Scenario_Calc'!S39</f>
        <v>3.4147120066512704</v>
      </c>
      <c r="K30" s="105">
        <f>'C_DE Marinas_Scenario_Calc'!T39</f>
        <v>0.11317650495435688</v>
      </c>
      <c r="L30" s="105">
        <f>'C_DE Marinas_Scenario_Calc'!U39</f>
        <v>0.24234465790595189</v>
      </c>
      <c r="M30" s="63"/>
      <c r="N30" s="70"/>
      <c r="O30" s="63"/>
      <c r="P30" s="63"/>
      <c r="Q30" s="63"/>
      <c r="R30" s="63"/>
    </row>
    <row r="31" spans="1:22" ht="12.75" customHeight="1" x14ac:dyDescent="0.2">
      <c r="A31" s="57"/>
      <c r="C31" s="145" t="s">
        <v>12</v>
      </c>
      <c r="D31" s="146"/>
      <c r="E31" s="105">
        <f>'C_DE Marinas_Scenario_Calc'!J40</f>
        <v>26.548605666223445</v>
      </c>
      <c r="F31" s="105">
        <f>'C_DE Marinas_Scenario_Calc'!K40</f>
        <v>797.37265643879653</v>
      </c>
      <c r="G31" s="105">
        <f>'C_DE Marinas_Scenario_Calc'!L40</f>
        <v>0.8880861559400699</v>
      </c>
      <c r="H31" s="105">
        <f>'C_DE Marinas_Scenario_Calc'!M40</f>
        <v>21.244573874924242</v>
      </c>
      <c r="I31" s="105">
        <f>'C_DE Marinas_Scenario_Calc'!R40</f>
        <v>3.4036673931055699</v>
      </c>
      <c r="J31" s="105">
        <f>'C_DE Marinas_Scenario_Calc'!S40</f>
        <v>9.1652029475723733</v>
      </c>
      <c r="K31" s="105">
        <f>'C_DE Marinas_Scenario_Calc'!T40</f>
        <v>0.11385719947949614</v>
      </c>
      <c r="L31" s="105">
        <f>'C_DE Marinas_Scenario_Calc'!U40</f>
        <v>0.24419050430947406</v>
      </c>
      <c r="N31" s="57"/>
    </row>
    <row r="32" spans="1:22" x14ac:dyDescent="0.2">
      <c r="A32" s="57"/>
      <c r="C32" s="145" t="s">
        <v>13</v>
      </c>
      <c r="D32" s="146"/>
      <c r="E32" s="105">
        <f>'C_DE Marinas_Scenario_Calc'!J41</f>
        <v>0.96679237299662457</v>
      </c>
      <c r="F32" s="105">
        <f>'C_DE Marinas_Scenario_Calc'!K41</f>
        <v>23.625122135304085</v>
      </c>
      <c r="G32" s="105">
        <f>'C_DE Marinas_Scenario_Calc'!L41</f>
        <v>0.88008397784568082</v>
      </c>
      <c r="H32" s="105">
        <f>'C_DE Marinas_Scenario_Calc'!M41</f>
        <v>21.002539993916873</v>
      </c>
      <c r="I32" s="105">
        <f>'C_DE Marinas_Scenario_Calc'!R41</f>
        <v>0.12394774012777239</v>
      </c>
      <c r="J32" s="105">
        <f>'C_DE Marinas_Scenario_Calc'!S41</f>
        <v>0.27155312799200099</v>
      </c>
      <c r="K32" s="105">
        <f>'C_DE Marinas_Scenario_Calc'!T41</f>
        <v>0.11283127921098472</v>
      </c>
      <c r="L32" s="105">
        <f>'C_DE Marinas_Scenario_Calc'!U41</f>
        <v>0.24140850567720543</v>
      </c>
      <c r="N32" s="57"/>
    </row>
    <row r="33" spans="1:25" x14ac:dyDescent="0.2">
      <c r="A33" s="57"/>
      <c r="C33" s="63"/>
      <c r="D33" s="63"/>
      <c r="E33" s="63"/>
      <c r="F33" s="63"/>
      <c r="G33" s="63"/>
      <c r="H33" s="63"/>
      <c r="N33" s="57"/>
    </row>
    <row r="34" spans="1:25" x14ac:dyDescent="0.2">
      <c r="A34" s="57"/>
      <c r="B34" s="57"/>
      <c r="C34" s="58"/>
      <c r="D34" s="57"/>
      <c r="E34" s="57"/>
      <c r="F34" s="57"/>
      <c r="G34" s="57"/>
      <c r="H34" s="57"/>
      <c r="I34" s="57"/>
      <c r="J34" s="57"/>
      <c r="K34" s="57"/>
      <c r="L34" s="57"/>
      <c r="M34" s="57"/>
      <c r="N34" s="57"/>
      <c r="P34" s="64"/>
      <c r="Q34" s="64"/>
      <c r="R34" s="63"/>
      <c r="S34" s="63"/>
      <c r="T34" s="63"/>
      <c r="U34" s="63"/>
      <c r="V34" s="63"/>
      <c r="W34" s="63"/>
      <c r="X34" s="10"/>
      <c r="Y34" s="1"/>
    </row>
    <row r="35" spans="1:25" x14ac:dyDescent="0.2">
      <c r="A35" s="57"/>
      <c r="C35" s="53" t="s">
        <v>79</v>
      </c>
      <c r="N35" s="57"/>
    </row>
    <row r="36" spans="1:25" x14ac:dyDescent="0.2">
      <c r="A36" s="57"/>
      <c r="B36" s="74"/>
      <c r="N36" s="57"/>
    </row>
    <row r="37" spans="1:25" x14ac:dyDescent="0.2">
      <c r="A37" s="57"/>
      <c r="C37" s="72" t="s">
        <v>76</v>
      </c>
      <c r="D37" s="86"/>
      <c r="E37" s="86"/>
      <c r="F37" s="86"/>
      <c r="G37" s="86"/>
      <c r="N37" s="57"/>
    </row>
    <row r="38" spans="1:25" ht="105.95" customHeight="1" x14ac:dyDescent="0.2">
      <c r="A38" s="57"/>
      <c r="B38" s="74"/>
      <c r="C38" s="54" t="s">
        <v>8</v>
      </c>
      <c r="D38" s="130" t="s">
        <v>9</v>
      </c>
      <c r="E38" s="104" t="s">
        <v>133</v>
      </c>
      <c r="F38" s="104" t="s">
        <v>134</v>
      </c>
      <c r="G38" s="104" t="s">
        <v>135</v>
      </c>
      <c r="H38" s="104" t="s">
        <v>136</v>
      </c>
      <c r="N38" s="57"/>
    </row>
    <row r="39" spans="1:25" x14ac:dyDescent="0.2">
      <c r="A39" s="57"/>
      <c r="C39" s="107" t="s">
        <v>196</v>
      </c>
      <c r="D39" s="107" t="s">
        <v>11</v>
      </c>
      <c r="E39" s="105">
        <f>'C_DE Marinas_Scenario_Calc'!J21</f>
        <v>13.442808269103116</v>
      </c>
      <c r="F39" s="105">
        <f>'C_DE Marinas_Scenario_Calc'!K21</f>
        <v>400.97469655487299</v>
      </c>
      <c r="G39" s="105">
        <f>'C_DE Marinas_Scenario_Calc'!L21</f>
        <v>0.88185160566887666</v>
      </c>
      <c r="H39" s="105">
        <f>'C_DE Marinas_Scenario_Calc'!M21</f>
        <v>21.056003665599285</v>
      </c>
      <c r="N39" s="57"/>
    </row>
    <row r="40" spans="1:25" x14ac:dyDescent="0.2">
      <c r="A40" s="57"/>
      <c r="C40" s="107" t="s">
        <v>197</v>
      </c>
      <c r="D40" s="107" t="s">
        <v>11</v>
      </c>
      <c r="E40" s="105">
        <f>'C_DE Marinas_Scenario_Calc'!J22</f>
        <v>4.6084012799977465</v>
      </c>
      <c r="F40" s="105">
        <f>'C_DE Marinas_Scenario_Calc'!K22</f>
        <v>133.7692267631009</v>
      </c>
      <c r="G40" s="105">
        <f>'C_DE Marinas_Scenario_Calc'!L22</f>
        <v>0.88102630369863155</v>
      </c>
      <c r="H40" s="105">
        <f>'C_DE Marinas_Scenario_Calc'!M22</f>
        <v>21.031041581895792</v>
      </c>
      <c r="N40" s="57"/>
    </row>
    <row r="41" spans="1:25" x14ac:dyDescent="0.2">
      <c r="A41" s="57"/>
      <c r="C41" s="107" t="s">
        <v>198</v>
      </c>
      <c r="D41" s="107" t="s">
        <v>11</v>
      </c>
      <c r="E41" s="105">
        <f>'C_DE Marinas_Scenario_Calc'!J23</f>
        <v>10.431926688663353</v>
      </c>
      <c r="F41" s="105">
        <f>'C_DE Marinas_Scenario_Calc'!K23</f>
        <v>309.90757779626523</v>
      </c>
      <c r="G41" s="105">
        <f>'C_DE Marinas_Scenario_Calc'!L23</f>
        <v>0.88247210176882351</v>
      </c>
      <c r="H41" s="105">
        <f>'C_DE Marinas_Scenario_Calc'!M23</f>
        <v>21.074771190796906</v>
      </c>
      <c r="N41" s="57"/>
    </row>
    <row r="42" spans="1:25" x14ac:dyDescent="0.2">
      <c r="A42" s="57"/>
      <c r="C42" s="107" t="s">
        <v>199</v>
      </c>
      <c r="D42" s="107" t="s">
        <v>11</v>
      </c>
      <c r="E42" s="105">
        <f>'C_DE Marinas_Scenario_Calc'!J24</f>
        <v>26.379861387427681</v>
      </c>
      <c r="F42" s="105">
        <f>'C_DE Marinas_Scenario_Calc'!K24</f>
        <v>792.26881978454969</v>
      </c>
      <c r="G42" s="105">
        <f>'C_DE Marinas_Scenario_Calc'!L24</f>
        <v>0.8851706156508018</v>
      </c>
      <c r="H42" s="105">
        <f>'C_DE Marinas_Scenario_Calc'!M24</f>
        <v>21.156390442230705</v>
      </c>
      <c r="N42" s="57"/>
    </row>
    <row r="43" spans="1:25" x14ac:dyDescent="0.2">
      <c r="A43" s="57"/>
      <c r="C43" s="107" t="s">
        <v>200</v>
      </c>
      <c r="D43" s="107" t="s">
        <v>11</v>
      </c>
      <c r="E43" s="105">
        <f>'C_DE Marinas_Scenario_Calc'!J25</f>
        <v>4.4923468746754533</v>
      </c>
      <c r="F43" s="105">
        <f>'C_DE Marinas_Scenario_Calc'!K25</f>
        <v>130.25904460378877</v>
      </c>
      <c r="G43" s="105">
        <f>'C_DE Marinas_Scenario_Calc'!L25</f>
        <v>0.8806895513734303</v>
      </c>
      <c r="H43" s="105">
        <f>'C_DE Marinas_Scenario_Calc'!M25</f>
        <v>21.020856171040894</v>
      </c>
      <c r="N43" s="57"/>
    </row>
    <row r="44" spans="1:25" x14ac:dyDescent="0.2">
      <c r="A44" s="57"/>
      <c r="C44" s="107" t="s">
        <v>201</v>
      </c>
      <c r="D44" s="107" t="s">
        <v>11</v>
      </c>
      <c r="E44" s="105">
        <f>'C_DE Marinas_Scenario_Calc'!J26</f>
        <v>3.2363421760284208</v>
      </c>
      <c r="F44" s="105">
        <f>'C_DE Marinas_Scenario_Calc'!K26</f>
        <v>92.269926066632337</v>
      </c>
      <c r="G44" s="105">
        <f>'C_DE Marinas_Scenario_Calc'!L26</f>
        <v>0.88144706211918511</v>
      </c>
      <c r="H44" s="105">
        <f>'C_DE Marinas_Scenario_Calc'!M26</f>
        <v>21.043767841385872</v>
      </c>
      <c r="N44" s="57"/>
    </row>
    <row r="45" spans="1:25" x14ac:dyDescent="0.2">
      <c r="A45" s="57"/>
      <c r="C45" s="107" t="s">
        <v>202</v>
      </c>
      <c r="D45" s="107" t="s">
        <v>11</v>
      </c>
      <c r="E45" s="105">
        <f>'C_DE Marinas_Scenario_Calc'!J27</f>
        <v>4.6998481165116317</v>
      </c>
      <c r="F45" s="105">
        <f>'C_DE Marinas_Scenario_Calc'!K27</f>
        <v>136.53512797079179</v>
      </c>
      <c r="G45" s="105">
        <f>'C_DE Marinas_Scenario_Calc'!L27</f>
        <v>0.88242136571794705</v>
      </c>
      <c r="H45" s="105">
        <f>'C_DE Marinas_Scenario_Calc'!M27</f>
        <v>21.073236628644388</v>
      </c>
      <c r="N45" s="57"/>
    </row>
    <row r="46" spans="1:25" x14ac:dyDescent="0.2">
      <c r="A46" s="57"/>
      <c r="C46" s="107" t="s">
        <v>204</v>
      </c>
      <c r="D46" s="107" t="s">
        <v>11</v>
      </c>
      <c r="E46" s="105">
        <f>'C_DE Marinas_Scenario_Calc'!J28</f>
        <v>12.691732676499029</v>
      </c>
      <c r="F46" s="105">
        <f>'C_DE Marinas_Scenario_Calc'!K28</f>
        <v>378.25766943580533</v>
      </c>
      <c r="G46" s="105">
        <f>'C_DE Marinas_Scenario_Calc'!L28</f>
        <v>0.88412027798025661</v>
      </c>
      <c r="H46" s="105">
        <f>'C_DE Marinas_Scenario_Calc'!M28</f>
        <v>21.12462192896508</v>
      </c>
      <c r="N46" s="57"/>
    </row>
    <row r="47" spans="1:25" x14ac:dyDescent="0.2">
      <c r="A47" s="57"/>
      <c r="C47" s="107" t="s">
        <v>206</v>
      </c>
      <c r="D47" s="107" t="s">
        <v>11</v>
      </c>
      <c r="E47" s="105">
        <f>'C_DE Marinas_Scenario_Calc'!J29</f>
        <v>3.9320340572506285</v>
      </c>
      <c r="F47" s="105">
        <f>'C_DE Marinas_Scenario_Calc'!K29</f>
        <v>113.31182341603575</v>
      </c>
      <c r="G47" s="105">
        <f>'C_DE Marinas_Scenario_Calc'!L29</f>
        <v>0.88558779917877462</v>
      </c>
      <c r="H47" s="105">
        <f>'C_DE Marinas_Scenario_Calc'!M29</f>
        <v>21.16900857577421</v>
      </c>
      <c r="N47" s="57"/>
    </row>
    <row r="48" spans="1:25" x14ac:dyDescent="0.2">
      <c r="A48" s="57"/>
      <c r="C48" s="107" t="s">
        <v>207</v>
      </c>
      <c r="D48" s="107" t="s">
        <v>11</v>
      </c>
      <c r="E48" s="105">
        <f>'C_DE Marinas_Scenario_Calc'!J30</f>
        <v>0.96679237299662457</v>
      </c>
      <c r="F48" s="105">
        <f>'C_DE Marinas_Scenario_Calc'!K30</f>
        <v>23.625122135304085</v>
      </c>
      <c r="G48" s="105">
        <f>'C_DE Marinas_Scenario_Calc'!L30</f>
        <v>0.88008397784568082</v>
      </c>
      <c r="H48" s="105">
        <f>'C_DE Marinas_Scenario_Calc'!M30</f>
        <v>21.002539993916873</v>
      </c>
      <c r="N48" s="57"/>
    </row>
    <row r="49" spans="1:14" x14ac:dyDescent="0.2">
      <c r="A49" s="57"/>
      <c r="C49" s="107" t="s">
        <v>208</v>
      </c>
      <c r="D49" s="107" t="s">
        <v>11</v>
      </c>
      <c r="E49" s="105">
        <f>'C_DE Marinas_Scenario_Calc'!J31</f>
        <v>24.032242873647309</v>
      </c>
      <c r="F49" s="105">
        <f>'C_DE Marinas_Scenario_Calc'!K31</f>
        <v>721.26274615507168</v>
      </c>
      <c r="G49" s="105">
        <f>'C_DE Marinas_Scenario_Calc'!L31</f>
        <v>0.88696308278376146</v>
      </c>
      <c r="H49" s="105">
        <f>'C_DE Marinas_Scenario_Calc'!M31</f>
        <v>21.210605403770444</v>
      </c>
      <c r="N49" s="57"/>
    </row>
    <row r="50" spans="1:14" x14ac:dyDescent="0.2">
      <c r="A50" s="57"/>
      <c r="C50" s="107" t="s">
        <v>209</v>
      </c>
      <c r="D50" s="107" t="s">
        <v>11</v>
      </c>
      <c r="E50" s="105">
        <f>'C_DE Marinas_Scenario_Calc'!J32</f>
        <v>15.872788502273051</v>
      </c>
      <c r="F50" s="105">
        <f>'C_DE Marinas_Scenario_Calc'!K32</f>
        <v>474.47188859312041</v>
      </c>
      <c r="G50" s="105">
        <f>'C_DE Marinas_Scenario_Calc'!L32</f>
        <v>0.8880861559400699</v>
      </c>
      <c r="H50" s="105">
        <f>'C_DE Marinas_Scenario_Calc'!M32</f>
        <v>21.244573874924242</v>
      </c>
      <c r="N50" s="57"/>
    </row>
    <row r="51" spans="1:14" x14ac:dyDescent="0.2">
      <c r="A51" s="57"/>
      <c r="C51" s="107" t="s">
        <v>210</v>
      </c>
      <c r="D51" s="107" t="s">
        <v>11</v>
      </c>
      <c r="E51" s="105">
        <f>'C_DE Marinas_Scenario_Calc'!J33</f>
        <v>3.0614427009661731</v>
      </c>
      <c r="F51" s="105">
        <f>'C_DE Marinas_Scenario_Calc'!K33</f>
        <v>86.979916882070668</v>
      </c>
      <c r="G51" s="105">
        <f>'C_DE Marinas_Scenario_Calc'!L33</f>
        <v>0.88098955670509627</v>
      </c>
      <c r="H51" s="105">
        <f>'C_DE Marinas_Scenario_Calc'!M33</f>
        <v>21.029930132419473</v>
      </c>
      <c r="N51" s="57"/>
    </row>
    <row r="52" spans="1:14" x14ac:dyDescent="0.2">
      <c r="A52" s="57"/>
      <c r="C52" s="107" t="s">
        <v>211</v>
      </c>
      <c r="D52" s="107" t="s">
        <v>11</v>
      </c>
      <c r="E52" s="105">
        <f>'C_DE Marinas_Scenario_Calc'!J34</f>
        <v>3.3446193372679032</v>
      </c>
      <c r="F52" s="105">
        <f>'C_DE Marinas_Scenario_Calc'!K34</f>
        <v>95.544877065882233</v>
      </c>
      <c r="G52" s="105">
        <f>'C_DE Marinas_Scenario_Calc'!L34</f>
        <v>0.88043879135304215</v>
      </c>
      <c r="H52" s="105">
        <f>'C_DE Marinas_Scenario_Calc'!M34</f>
        <v>21.013271683419514</v>
      </c>
      <c r="N52" s="57"/>
    </row>
    <row r="53" spans="1:14" x14ac:dyDescent="0.2">
      <c r="A53" s="57"/>
      <c r="C53" s="107" t="s">
        <v>212</v>
      </c>
      <c r="D53" s="107" t="s">
        <v>11</v>
      </c>
      <c r="E53" s="105">
        <f>'C_DE Marinas_Scenario_Calc'!J35</f>
        <v>9.0738096410148597</v>
      </c>
      <c r="F53" s="105">
        <f>'C_DE Marinas_Scenario_Calc'!K35</f>
        <v>268.82996914334888</v>
      </c>
      <c r="G53" s="105">
        <f>'C_DE Marinas_Scenario_Calc'!L35</f>
        <v>0.88055868045195307</v>
      </c>
      <c r="H53" s="105">
        <f>'C_DE Marinas_Scenario_Calc'!M35</f>
        <v>21.016897849044533</v>
      </c>
      <c r="N53" s="57"/>
    </row>
    <row r="54" spans="1:14" x14ac:dyDescent="0.2">
      <c r="A54" s="57"/>
      <c r="C54" s="107" t="s">
        <v>213</v>
      </c>
      <c r="D54" s="107" t="s">
        <v>11</v>
      </c>
      <c r="E54" s="105">
        <f>'C_DE Marinas_Scenario_Calc'!J36</f>
        <v>26.548605666223445</v>
      </c>
      <c r="F54" s="105">
        <f>'C_DE Marinas_Scenario_Calc'!K36</f>
        <v>797.37265643879653</v>
      </c>
      <c r="G54" s="105">
        <f>'C_DE Marinas_Scenario_Calc'!L36</f>
        <v>0.88182776882118596</v>
      </c>
      <c r="H54" s="105">
        <f>'C_DE Marinas_Scenario_Calc'!M36</f>
        <v>21.055282695767588</v>
      </c>
      <c r="N54" s="57"/>
    </row>
    <row r="55" spans="1:14" x14ac:dyDescent="0.2">
      <c r="A55" s="57"/>
      <c r="C55" s="107" t="s">
        <v>214</v>
      </c>
      <c r="D55" s="107" t="s">
        <v>11</v>
      </c>
      <c r="E55" s="105">
        <f>'C_DE Marinas_Scenario_Calc'!J37</f>
        <v>3.3172799166641358</v>
      </c>
      <c r="F55" s="105">
        <f>'C_DE Marinas_Scenario_Calc'!K37</f>
        <v>94.71796903179208</v>
      </c>
      <c r="G55" s="105">
        <f>'C_DE Marinas_Scenario_Calc'!L37</f>
        <v>0.88346985989020588</v>
      </c>
      <c r="H55" s="105">
        <f>'C_DE Marinas_Scenario_Calc'!M37</f>
        <v>21.104949383307115</v>
      </c>
      <c r="N55" s="57"/>
    </row>
    <row r="56" spans="1:14" x14ac:dyDescent="0.2">
      <c r="A56" s="57"/>
      <c r="C56" s="82"/>
      <c r="D56" s="82"/>
      <c r="E56" s="83"/>
      <c r="F56" s="83"/>
      <c r="G56" s="83"/>
      <c r="H56" s="83"/>
      <c r="N56" s="57"/>
    </row>
    <row r="57" spans="1:14" x14ac:dyDescent="0.2">
      <c r="A57" s="57"/>
      <c r="B57" s="74"/>
      <c r="C57" s="52" t="s">
        <v>77</v>
      </c>
      <c r="N57" s="57"/>
    </row>
    <row r="58" spans="1:14" x14ac:dyDescent="0.2">
      <c r="A58" s="57"/>
      <c r="C58" s="74" t="s">
        <v>83</v>
      </c>
      <c r="N58" s="57"/>
    </row>
    <row r="59" spans="1:14" ht="120" customHeight="1" x14ac:dyDescent="0.2">
      <c r="A59" s="57"/>
      <c r="C59" s="54" t="s">
        <v>8</v>
      </c>
      <c r="D59" s="130" t="s">
        <v>9</v>
      </c>
      <c r="E59" s="104" t="s">
        <v>58</v>
      </c>
      <c r="F59" s="104" t="s">
        <v>59</v>
      </c>
      <c r="G59" s="104" t="s">
        <v>60</v>
      </c>
      <c r="H59" s="104" t="s">
        <v>61</v>
      </c>
      <c r="N59" s="57"/>
    </row>
    <row r="60" spans="1:14" x14ac:dyDescent="0.2">
      <c r="A60" s="57"/>
      <c r="C60" s="107" t="s">
        <v>196</v>
      </c>
      <c r="D60" s="107" t="s">
        <v>11</v>
      </c>
      <c r="E60" s="105">
        <f>'C_DE Marinas_Scenario_Calc'!R21</f>
        <v>1.7234369575773225</v>
      </c>
      <c r="F60" s="105">
        <f>'C_DE Marinas_Scenario_Calc'!S21</f>
        <v>4.6089045581019885</v>
      </c>
      <c r="G60" s="105">
        <f>'C_DE Marinas_Scenario_Calc'!T21</f>
        <v>0.1130578981626765</v>
      </c>
      <c r="H60" s="105">
        <f>'C_DE Marinas_Scenario_Calc'!U21</f>
        <v>0.24202303063907224</v>
      </c>
      <c r="N60" s="57"/>
    </row>
    <row r="61" spans="1:14" x14ac:dyDescent="0.2">
      <c r="A61" s="57"/>
      <c r="C61" s="107" t="s">
        <v>197</v>
      </c>
      <c r="D61" s="107" t="s">
        <v>11</v>
      </c>
      <c r="E61" s="105">
        <f>'C_DE Marinas_Scenario_Calc'!R22</f>
        <v>0.59082067692278806</v>
      </c>
      <c r="F61" s="105">
        <f>'C_DE Marinas_Scenario_Calc'!S22</f>
        <v>1.5375773191161024</v>
      </c>
      <c r="G61" s="105">
        <f>'C_DE Marinas_Scenario_Calc'!T22</f>
        <v>0.11295209021777328</v>
      </c>
      <c r="H61" s="105">
        <f>'C_DE Marinas_Scenario_Calc'!U22</f>
        <v>0.24173611013673324</v>
      </c>
      <c r="N61" s="57"/>
    </row>
    <row r="62" spans="1:14" x14ac:dyDescent="0.2">
      <c r="A62" s="57"/>
      <c r="C62" s="107" t="s">
        <v>198</v>
      </c>
      <c r="D62" s="107" t="s">
        <v>11</v>
      </c>
      <c r="E62" s="105">
        <f>'C_DE Marinas_Scenario_Calc'!R23</f>
        <v>1.3374264985465838</v>
      </c>
      <c r="F62" s="105">
        <f>'C_DE Marinas_Scenario_Calc'!S23</f>
        <v>3.5621560666237384</v>
      </c>
      <c r="G62" s="105">
        <f>'C_DE Marinas_Scenario_Calc'!T23</f>
        <v>0.11313744894472097</v>
      </c>
      <c r="H62" s="105">
        <f>'C_DE Marinas_Scenario_Calc'!U23</f>
        <v>0.24223874931950465</v>
      </c>
      <c r="N62" s="57"/>
    </row>
    <row r="63" spans="1:14" x14ac:dyDescent="0.2">
      <c r="A63" s="57"/>
      <c r="C63" s="107" t="s">
        <v>199</v>
      </c>
      <c r="D63" s="107" t="s">
        <v>11</v>
      </c>
      <c r="E63" s="105">
        <f>'C_DE Marinas_Scenario_Calc'!R24</f>
        <v>3.382033511208677</v>
      </c>
      <c r="F63" s="105">
        <f>'C_DE Marinas_Scenario_Calc'!S24</f>
        <v>9.1065381584430991</v>
      </c>
      <c r="G63" s="105">
        <f>'C_DE Marinas_Scenario_Calc'!T24</f>
        <v>0.11348341226292331</v>
      </c>
      <c r="H63" s="105">
        <f>'C_DE Marinas_Scenario_Calc'!U24</f>
        <v>0.24317690163483568</v>
      </c>
      <c r="N63" s="57"/>
    </row>
    <row r="64" spans="1:14" x14ac:dyDescent="0.2">
      <c r="A64" s="57"/>
      <c r="C64" s="107" t="s">
        <v>200</v>
      </c>
      <c r="D64" s="107" t="s">
        <v>11</v>
      </c>
      <c r="E64" s="105">
        <f>'C_DE Marinas_Scenario_Calc'!R25</f>
        <v>0.57594190700967351</v>
      </c>
      <c r="F64" s="105">
        <f>'C_DE Marinas_Scenario_Calc'!S25</f>
        <v>1.4972303977446983</v>
      </c>
      <c r="G64" s="105">
        <f>'C_DE Marinas_Scenario_Calc'!T25</f>
        <v>0.11290891684274748</v>
      </c>
      <c r="H64" s="105">
        <f>'C_DE Marinas_Scenario_Calc'!U25</f>
        <v>0.24161903644874591</v>
      </c>
      <c r="N64" s="57"/>
    </row>
    <row r="65" spans="1:14" x14ac:dyDescent="0.2">
      <c r="A65" s="57"/>
      <c r="C65" s="107" t="s">
        <v>201</v>
      </c>
      <c r="D65" s="107" t="s">
        <v>11</v>
      </c>
      <c r="E65" s="105">
        <f>'C_DE Marinas_Scenario_Calc'!R26</f>
        <v>0.41491566359338727</v>
      </c>
      <c r="F65" s="105">
        <f>'C_DE Marinas_Scenario_Calc'!S26</f>
        <v>1.0605738628348544</v>
      </c>
      <c r="G65" s="105">
        <f>'C_DE Marinas_Scenario_Calc'!T26</f>
        <v>0.11300603360502373</v>
      </c>
      <c r="H65" s="105">
        <f>'C_DE Marinas_Scenario_Calc'!U26</f>
        <v>0.24188238898144682</v>
      </c>
      <c r="N65" s="57"/>
    </row>
    <row r="66" spans="1:14" x14ac:dyDescent="0.2">
      <c r="A66" s="57"/>
      <c r="C66" s="107" t="s">
        <v>202</v>
      </c>
      <c r="D66" s="107" t="s">
        <v>11</v>
      </c>
      <c r="E66" s="105">
        <f>'C_DE Marinas_Scenario_Calc'!R27</f>
        <v>0.60254463032200412</v>
      </c>
      <c r="F66" s="105">
        <f>'C_DE Marinas_Scenario_Calc'!S27</f>
        <v>1.5693692870205953</v>
      </c>
      <c r="G66" s="105">
        <f>'C_DE Marinas_Scenario_Calc'!T27</f>
        <v>0.11313094432281373</v>
      </c>
      <c r="H66" s="105">
        <f>'C_DE Marinas_Scenario_Calc'!U27</f>
        <v>0.24222111067407343</v>
      </c>
      <c r="N66" s="57"/>
    </row>
    <row r="67" spans="1:14" x14ac:dyDescent="0.2">
      <c r="A67" s="57"/>
      <c r="C67" s="107" t="s">
        <v>204</v>
      </c>
      <c r="D67" s="107" t="s">
        <v>11</v>
      </c>
      <c r="E67" s="105">
        <f>'C_DE Marinas_Scenario_Calc'!R28</f>
        <v>1.627145214935773</v>
      </c>
      <c r="F67" s="105">
        <f>'C_DE Marinas_Scenario_Calc'!S28</f>
        <v>4.3477893038598312</v>
      </c>
      <c r="G67" s="105">
        <f>'C_DE Marinas_Scenario_Calc'!T28</f>
        <v>0.11334875358721239</v>
      </c>
      <c r="H67" s="105">
        <f>'C_DE Marinas_Scenario_Calc'!U28</f>
        <v>0.24281174630994345</v>
      </c>
      <c r="N67" s="57"/>
    </row>
    <row r="68" spans="1:14" x14ac:dyDescent="0.2">
      <c r="A68" s="57"/>
      <c r="C68" s="107" t="s">
        <v>206</v>
      </c>
      <c r="D68" s="107" t="s">
        <v>11</v>
      </c>
      <c r="E68" s="105">
        <f>'C_DE Marinas_Scenario_Calc'!R29</f>
        <v>0.50410693041674726</v>
      </c>
      <c r="F68" s="105">
        <f>'C_DE Marinas_Scenario_Calc'!S29</f>
        <v>1.3024347519084569</v>
      </c>
      <c r="G68" s="105">
        <f>'C_DE Marinas_Scenario_Calc'!T29</f>
        <v>0.11353689733061213</v>
      </c>
      <c r="H68" s="105">
        <f>'C_DE Marinas_Scenario_Calc'!U29</f>
        <v>0.24332193765257712</v>
      </c>
      <c r="N68" s="57"/>
    </row>
    <row r="69" spans="1:14" x14ac:dyDescent="0.2">
      <c r="A69" s="57"/>
      <c r="C69" s="107" t="s">
        <v>207</v>
      </c>
      <c r="D69" s="107" t="s">
        <v>11</v>
      </c>
      <c r="E69" s="105">
        <f>'C_DE Marinas_Scenario_Calc'!R30</f>
        <v>0.12394774012777239</v>
      </c>
      <c r="F69" s="105">
        <f>'C_DE Marinas_Scenario_Calc'!S30</f>
        <v>0.27155312799200099</v>
      </c>
      <c r="G69" s="105">
        <f>'C_DE Marinas_Scenario_Calc'!T30</f>
        <v>0.11283127921098472</v>
      </c>
      <c r="H69" s="105">
        <f>'C_DE Marinas_Scenario_Calc'!U30</f>
        <v>0.24140850567720543</v>
      </c>
      <c r="N69" s="57"/>
    </row>
    <row r="70" spans="1:14" x14ac:dyDescent="0.2">
      <c r="A70" s="57"/>
      <c r="C70" s="107" t="s">
        <v>208</v>
      </c>
      <c r="D70" s="107" t="s">
        <v>11</v>
      </c>
      <c r="E70" s="105">
        <f>'C_DE Marinas_Scenario_Calc'!R31</f>
        <v>3.0810567786727319</v>
      </c>
      <c r="F70" s="105">
        <f>'C_DE Marinas_Scenario_Calc'!S31</f>
        <v>8.2903763925870315</v>
      </c>
      <c r="G70" s="105">
        <f>'C_DE Marinas_Scenario_Calc'!T31</f>
        <v>0.11371321574150788</v>
      </c>
      <c r="H70" s="105">
        <f>'C_DE Marinas_Scenario_Calc'!U31</f>
        <v>0.24380006211230396</v>
      </c>
      <c r="N70" s="57"/>
    </row>
    <row r="71" spans="1:14" x14ac:dyDescent="0.2">
      <c r="A71" s="57"/>
      <c r="C71" s="107" t="s">
        <v>209</v>
      </c>
      <c r="D71" s="107" t="s">
        <v>11</v>
      </c>
      <c r="E71" s="105">
        <f>'C_DE Marinas_Scenario_Calc'!R32</f>
        <v>2.0349728849068014</v>
      </c>
      <c r="F71" s="105">
        <f>'C_DE Marinas_Scenario_Calc'!S32</f>
        <v>5.4536998688864413</v>
      </c>
      <c r="G71" s="105">
        <f>'C_DE Marinas_Scenario_Calc'!T32</f>
        <v>0.11385719947949614</v>
      </c>
      <c r="H71" s="105">
        <f>'C_DE Marinas_Scenario_Calc'!U32</f>
        <v>0.24419050430947406</v>
      </c>
      <c r="N71" s="57"/>
    </row>
    <row r="72" spans="1:14" x14ac:dyDescent="0.2">
      <c r="A72" s="57"/>
      <c r="C72" s="107" t="s">
        <v>210</v>
      </c>
      <c r="D72" s="107" t="s">
        <v>11</v>
      </c>
      <c r="E72" s="105">
        <f>'C_DE Marinas_Scenario_Calc'!R33</f>
        <v>0.3924926539700222</v>
      </c>
      <c r="F72" s="105">
        <f>'C_DE Marinas_Scenario_Calc'!S33</f>
        <v>0.99976915956403067</v>
      </c>
      <c r="G72" s="105">
        <f>'C_DE Marinas_Scenario_Calc'!T33</f>
        <v>0.11294737906475594</v>
      </c>
      <c r="H72" s="105">
        <f>'C_DE Marinas_Scenario_Calc'!U33</f>
        <v>0.24172333485539624</v>
      </c>
      <c r="N72" s="57"/>
    </row>
    <row r="73" spans="1:14" x14ac:dyDescent="0.2">
      <c r="A73" s="57"/>
      <c r="C73" s="107" t="s">
        <v>211</v>
      </c>
      <c r="D73" s="107" t="s">
        <v>11</v>
      </c>
      <c r="E73" s="105">
        <f>'C_DE Marinas_Scenario_Calc'!R34</f>
        <v>0.42879735093178245</v>
      </c>
      <c r="F73" s="105">
        <f>'C_DE Marinas_Scenario_Calc'!S34</f>
        <v>1.0982169777687614</v>
      </c>
      <c r="G73" s="105">
        <f>'C_DE Marinas_Scenario_Calc'!T34</f>
        <v>0.11287676812218489</v>
      </c>
      <c r="H73" s="105">
        <f>'C_DE Marinas_Scenario_Calc'!U34</f>
        <v>0.24153185843010935</v>
      </c>
      <c r="N73" s="57"/>
    </row>
    <row r="74" spans="1:14" x14ac:dyDescent="0.2">
      <c r="A74" s="57"/>
      <c r="C74" s="107" t="s">
        <v>212</v>
      </c>
      <c r="D74" s="107" t="s">
        <v>11</v>
      </c>
      <c r="E74" s="105">
        <f>'C_DE Marinas_Scenario_Calc'!R35</f>
        <v>1.1633089283352385</v>
      </c>
      <c r="F74" s="105">
        <f>'C_DE Marinas_Scenario_Calc'!S35</f>
        <v>3.0899996453258494</v>
      </c>
      <c r="G74" s="105">
        <f>'C_DE Marinas_Scenario_Calc'!T35</f>
        <v>0.11289213851948117</v>
      </c>
      <c r="H74" s="105">
        <f>'C_DE Marinas_Scenario_Calc'!U35</f>
        <v>0.24157353849476473</v>
      </c>
      <c r="N74" s="57"/>
    </row>
    <row r="75" spans="1:14" x14ac:dyDescent="0.2">
      <c r="A75" s="57"/>
      <c r="C75" s="107" t="s">
        <v>213</v>
      </c>
      <c r="D75" s="107" t="s">
        <v>11</v>
      </c>
      <c r="E75" s="105">
        <f>'C_DE Marinas_Scenario_Calc'!R36</f>
        <v>3.4036673931055699</v>
      </c>
      <c r="F75" s="105">
        <f>'C_DE Marinas_Scenario_Calc'!S36</f>
        <v>9.1652029475723733</v>
      </c>
      <c r="G75" s="105">
        <f>'C_DE Marinas_Scenario_Calc'!T36</f>
        <v>0.11305484215656231</v>
      </c>
      <c r="H75" s="105">
        <f>'C_DE Marinas_Scenario_Calc'!U36</f>
        <v>0.2420147436295125</v>
      </c>
      <c r="N75" s="57"/>
    </row>
    <row r="76" spans="1:14" x14ac:dyDescent="0.2">
      <c r="A76" s="57"/>
      <c r="C76" s="107" t="s">
        <v>214</v>
      </c>
      <c r="D76" s="107" t="s">
        <v>11</v>
      </c>
      <c r="E76" s="105">
        <f>'C_DE Marinas_Scenario_Calc'!R37</f>
        <v>0.42529229700822258</v>
      </c>
      <c r="F76" s="105">
        <f>'C_DE Marinas_Scenario_Calc'!S37</f>
        <v>1.0887122877217481</v>
      </c>
      <c r="G76" s="105">
        <f>'C_DE Marinas_Scenario_Calc'!T37</f>
        <v>0.1132653666525905</v>
      </c>
      <c r="H76" s="105">
        <f>'C_DE Marinas_Scenario_Calc'!U37</f>
        <v>0.24258562509548409</v>
      </c>
      <c r="N76" s="57"/>
    </row>
    <row r="77" spans="1:14" x14ac:dyDescent="0.2">
      <c r="A77" s="57"/>
      <c r="B77" s="74"/>
      <c r="N77" s="57"/>
    </row>
    <row r="78" spans="1:14" x14ac:dyDescent="0.2">
      <c r="A78" s="57"/>
      <c r="B78" s="57"/>
      <c r="C78" s="57"/>
      <c r="D78" s="57"/>
      <c r="E78" s="57"/>
      <c r="F78" s="57"/>
      <c r="G78" s="57"/>
      <c r="H78" s="57"/>
      <c r="I78" s="57"/>
      <c r="J78" s="57"/>
      <c r="K78" s="57"/>
      <c r="L78" s="57"/>
      <c r="M78" s="57"/>
      <c r="N78" s="57"/>
    </row>
    <row r="79" spans="1:14" hidden="1" x14ac:dyDescent="0.2"/>
    <row r="80" spans="1:14"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sheetData>
  <mergeCells count="12">
    <mergeCell ref="C18:E18"/>
    <mergeCell ref="C9:F9"/>
    <mergeCell ref="C11:F11"/>
    <mergeCell ref="C15:F15"/>
    <mergeCell ref="C16:E16"/>
    <mergeCell ref="C17:E17"/>
    <mergeCell ref="C32:D32"/>
    <mergeCell ref="C19:E19"/>
    <mergeCell ref="C21:F21"/>
    <mergeCell ref="C28:D28"/>
    <mergeCell ref="C30:D30"/>
    <mergeCell ref="C31:D31"/>
  </mergeCells>
  <conditionalFormatting sqref="E60:H76">
    <cfRule type="cellIs" dxfId="21" priority="2" operator="greaterThan">
      <formula>1</formula>
    </cfRule>
  </conditionalFormatting>
  <conditionalFormatting sqref="E29:L32">
    <cfRule type="cellIs" dxfId="20" priority="1" operator="greaterThan">
      <formula>1</formula>
    </cfRule>
  </conditionalFormatting>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tint="4.9989318521683403E-2"/>
  </sheetPr>
  <dimension ref="A1:Z397"/>
  <sheetViews>
    <sheetView topLeftCell="A55" zoomScale="85" zoomScaleNormal="85" workbookViewId="0">
      <selection activeCell="C60" sqref="C60:C77"/>
    </sheetView>
  </sheetViews>
  <sheetFormatPr baseColWidth="10" defaultColWidth="0" defaultRowHeight="12.75" zeroHeight="1" x14ac:dyDescent="0.2"/>
  <cols>
    <col min="1" max="2" width="3.125" style="1" customWidth="1"/>
    <col min="3" max="3" width="47.375" style="74" bestFit="1" customWidth="1"/>
    <col min="4" max="4" width="3.625" style="74" customWidth="1"/>
    <col min="5" max="9" width="16.625" style="74" customWidth="1"/>
    <col min="10" max="10" width="16.625" style="1" customWidth="1"/>
    <col min="11" max="12" width="16.625" style="74" customWidth="1"/>
    <col min="13" max="13" width="3.125" style="74" customWidth="1"/>
    <col min="14" max="14" width="3" style="74" customWidth="1"/>
    <col min="15" max="15" width="12.75" style="74" hidden="1" customWidth="1"/>
    <col min="16" max="16" width="12.25" style="74" hidden="1" customWidth="1"/>
    <col min="17" max="17" width="12.5" style="74" hidden="1" customWidth="1"/>
    <col min="18" max="18" width="12.25" style="74" hidden="1" customWidth="1"/>
    <col min="19" max="26" width="0" style="74" hidden="1" customWidth="1"/>
    <col min="27" max="16384" width="9" style="74" hidden="1"/>
  </cols>
  <sheetData>
    <row r="1" spans="1:14" x14ac:dyDescent="0.2">
      <c r="A1" s="57"/>
      <c r="B1" s="57"/>
      <c r="C1" s="57"/>
      <c r="D1" s="57"/>
      <c r="E1" s="57"/>
      <c r="F1" s="57"/>
      <c r="G1" s="57"/>
      <c r="H1" s="57"/>
      <c r="I1" s="57"/>
      <c r="J1" s="57"/>
      <c r="K1" s="57"/>
      <c r="L1" s="57"/>
      <c r="M1" s="57"/>
      <c r="N1" s="57"/>
    </row>
    <row r="2" spans="1:14" x14ac:dyDescent="0.2">
      <c r="A2" s="57"/>
      <c r="K2" s="1"/>
      <c r="N2" s="57"/>
    </row>
    <row r="3" spans="1:14" x14ac:dyDescent="0.2">
      <c r="A3" s="57"/>
      <c r="C3" s="51" t="s">
        <v>73</v>
      </c>
      <c r="D3" s="51"/>
      <c r="E3" s="51"/>
      <c r="F3" s="51"/>
      <c r="G3" s="51"/>
      <c r="H3" s="51"/>
      <c r="I3" s="51"/>
      <c r="J3" s="59"/>
      <c r="K3" s="59"/>
      <c r="L3" s="73">
        <f ca="1">TODAY()</f>
        <v>44001</v>
      </c>
      <c r="N3" s="57"/>
    </row>
    <row r="4" spans="1:14" x14ac:dyDescent="0.2">
      <c r="A4" s="57"/>
      <c r="C4" s="113" t="str">
        <f>Tooltype</f>
        <v>Calculator tool for the German scenario for inland water marinas</v>
      </c>
      <c r="K4" s="1"/>
      <c r="N4" s="57"/>
    </row>
    <row r="5" spans="1:14" x14ac:dyDescent="0.2">
      <c r="A5" s="57"/>
      <c r="K5" s="1"/>
      <c r="N5" s="57"/>
    </row>
    <row r="6" spans="1:14" x14ac:dyDescent="0.2">
      <c r="A6" s="57"/>
      <c r="C6" s="52" t="s">
        <v>74</v>
      </c>
      <c r="D6" s="74" t="str">
        <f>P_Compound_Name</f>
        <v>Pyrithione</v>
      </c>
      <c r="K6" s="1"/>
      <c r="N6" s="57"/>
    </row>
    <row r="7" spans="1:14" x14ac:dyDescent="0.2">
      <c r="A7" s="57"/>
      <c r="C7" s="52" t="s">
        <v>75</v>
      </c>
      <c r="D7" s="74" t="str">
        <f>Version</f>
        <v>Version Final 1.1</v>
      </c>
      <c r="K7" s="1"/>
      <c r="N7" s="57"/>
    </row>
    <row r="8" spans="1:14" x14ac:dyDescent="0.2">
      <c r="A8" s="57"/>
      <c r="K8" s="1"/>
      <c r="N8" s="57"/>
    </row>
    <row r="9" spans="1:14" x14ac:dyDescent="0.2">
      <c r="A9" s="57"/>
      <c r="C9" s="147" t="s">
        <v>14</v>
      </c>
      <c r="D9" s="147"/>
      <c r="E9" s="147"/>
      <c r="F9" s="147"/>
      <c r="K9" s="1"/>
      <c r="N9" s="57"/>
    </row>
    <row r="10" spans="1:14" x14ac:dyDescent="0.2">
      <c r="A10" s="57"/>
      <c r="C10" s="53"/>
      <c r="K10" s="1"/>
      <c r="N10" s="57"/>
    </row>
    <row r="11" spans="1:14" x14ac:dyDescent="0.2">
      <c r="A11" s="57"/>
      <c r="C11" s="148" t="s">
        <v>82</v>
      </c>
      <c r="D11" s="148"/>
      <c r="E11" s="148"/>
      <c r="F11" s="148"/>
      <c r="K11" s="1"/>
      <c r="N11" s="57"/>
    </row>
    <row r="12" spans="1:14" x14ac:dyDescent="0.2">
      <c r="A12" s="57"/>
      <c r="C12" s="74" t="s">
        <v>64</v>
      </c>
      <c r="E12" s="74">
        <f>Application_Factor</f>
        <v>0.9</v>
      </c>
      <c r="K12" s="1"/>
      <c r="N12" s="57"/>
    </row>
    <row r="13" spans="1:14" x14ac:dyDescent="0.2">
      <c r="A13" s="57"/>
      <c r="C13" s="74" t="s">
        <v>81</v>
      </c>
      <c r="E13" s="118">
        <f>IF(ISBLANK(P_Average_biocide_release_over_the_lifetime_of_the_paint_M),P_User_Input!I30,P_Average_biocide_release_over_the_lifetime_of_the_paint_M)</f>
        <v>2.5</v>
      </c>
      <c r="K13" s="1"/>
      <c r="N13" s="57"/>
    </row>
    <row r="14" spans="1:14" x14ac:dyDescent="0.2">
      <c r="A14" s="57"/>
      <c r="K14" s="1"/>
      <c r="N14" s="57"/>
    </row>
    <row r="15" spans="1:14" x14ac:dyDescent="0.2">
      <c r="A15" s="57"/>
      <c r="C15" s="148" t="s">
        <v>56</v>
      </c>
      <c r="D15" s="148"/>
      <c r="E15" s="148"/>
      <c r="F15" s="148"/>
      <c r="K15" s="1"/>
      <c r="N15" s="57"/>
    </row>
    <row r="16" spans="1:14" x14ac:dyDescent="0.2">
      <c r="A16" s="57"/>
      <c r="C16" s="149" t="s">
        <v>105</v>
      </c>
      <c r="D16" s="149"/>
      <c r="E16" s="149"/>
      <c r="F16" s="119">
        <f>P_PNEC_Aquatic_Inside</f>
        <v>1.7600000000000001E-2</v>
      </c>
      <c r="K16" s="1"/>
      <c r="N16" s="57"/>
    </row>
    <row r="17" spans="1:22" x14ac:dyDescent="0.2">
      <c r="A17" s="57"/>
      <c r="C17" s="149" t="s">
        <v>104</v>
      </c>
      <c r="D17" s="149"/>
      <c r="E17" s="149"/>
      <c r="F17" s="119">
        <f>P_PNEC_Sediment_Inside</f>
        <v>8.5000000000000006E-3</v>
      </c>
      <c r="K17" s="1"/>
      <c r="N17" s="57"/>
    </row>
    <row r="18" spans="1:22" x14ac:dyDescent="0.2">
      <c r="A18" s="57"/>
      <c r="C18" s="149" t="s">
        <v>103</v>
      </c>
      <c r="D18" s="149"/>
      <c r="E18" s="149"/>
      <c r="F18" s="119">
        <f>P_PNEC_Aquatic_Surrounding</f>
        <v>1.7600000000000001E-2</v>
      </c>
      <c r="K18" s="1"/>
      <c r="N18" s="57"/>
    </row>
    <row r="19" spans="1:22" x14ac:dyDescent="0.2">
      <c r="A19" s="57"/>
      <c r="C19" s="149" t="s">
        <v>102</v>
      </c>
      <c r="D19" s="149"/>
      <c r="E19" s="149"/>
      <c r="F19" s="119">
        <f>P_PNEC_Sediment_Surrounding</f>
        <v>8.5000000000000006E-3</v>
      </c>
      <c r="K19" s="1"/>
      <c r="N19" s="57"/>
    </row>
    <row r="20" spans="1:22" x14ac:dyDescent="0.2">
      <c r="A20" s="57"/>
      <c r="K20" s="1"/>
      <c r="N20" s="57"/>
    </row>
    <row r="21" spans="1:22" x14ac:dyDescent="0.2">
      <c r="A21" s="57"/>
      <c r="C21" s="148" t="s">
        <v>54</v>
      </c>
      <c r="D21" s="148"/>
      <c r="E21" s="148"/>
      <c r="F21" s="148"/>
      <c r="K21" s="1"/>
      <c r="N21" s="57"/>
    </row>
    <row r="22" spans="1:22" ht="25.5" x14ac:dyDescent="0.2">
      <c r="A22" s="57"/>
      <c r="E22" s="102" t="s">
        <v>98</v>
      </c>
      <c r="F22" s="102" t="s">
        <v>99</v>
      </c>
      <c r="K22" s="1"/>
      <c r="N22" s="57"/>
    </row>
    <row r="23" spans="1:22" x14ac:dyDescent="0.2">
      <c r="A23" s="57"/>
      <c r="C23" s="74" t="s">
        <v>184</v>
      </c>
      <c r="E23" s="103">
        <f>P_Background_SW_Freshwater</f>
        <v>0</v>
      </c>
      <c r="F23" s="103">
        <f>P_Background_Sed_Freshwater</f>
        <v>0</v>
      </c>
      <c r="K23" s="1"/>
      <c r="N23" s="57"/>
    </row>
    <row r="24" spans="1:22" x14ac:dyDescent="0.2">
      <c r="A24" s="57"/>
      <c r="K24" s="1"/>
      <c r="N24" s="70"/>
      <c r="O24" s="63"/>
      <c r="P24" s="63"/>
    </row>
    <row r="25" spans="1:22" x14ac:dyDescent="0.2">
      <c r="A25" s="57"/>
      <c r="K25" s="1"/>
      <c r="N25" s="70"/>
      <c r="O25" s="63"/>
      <c r="P25" s="63"/>
    </row>
    <row r="26" spans="1:22" x14ac:dyDescent="0.2">
      <c r="A26" s="57"/>
      <c r="C26" s="53" t="s">
        <v>78</v>
      </c>
      <c r="K26" s="1"/>
      <c r="N26" s="70"/>
      <c r="O26" s="63"/>
      <c r="P26" s="63"/>
    </row>
    <row r="27" spans="1:22" ht="18.75" customHeight="1" x14ac:dyDescent="0.2">
      <c r="A27" s="57"/>
      <c r="N27" s="70"/>
      <c r="O27" s="63"/>
      <c r="P27" s="63"/>
    </row>
    <row r="28" spans="1:22" ht="80.099999999999994" customHeight="1" x14ac:dyDescent="0.2">
      <c r="A28" s="57"/>
      <c r="C28" s="145" t="s">
        <v>184</v>
      </c>
      <c r="D28" s="146"/>
      <c r="E28" s="104" t="s">
        <v>133</v>
      </c>
      <c r="F28" s="104" t="s">
        <v>134</v>
      </c>
      <c r="G28" s="104" t="s">
        <v>135</v>
      </c>
      <c r="H28" s="104" t="s">
        <v>136</v>
      </c>
      <c r="I28" s="104" t="s">
        <v>58</v>
      </c>
      <c r="J28" s="104" t="s">
        <v>128</v>
      </c>
      <c r="K28" s="104" t="s">
        <v>129</v>
      </c>
      <c r="L28" s="104" t="s">
        <v>130</v>
      </c>
      <c r="M28" s="65"/>
      <c r="N28" s="71"/>
      <c r="O28" s="65"/>
      <c r="P28" s="63"/>
      <c r="R28" s="63"/>
      <c r="S28" s="55"/>
      <c r="T28" s="55"/>
      <c r="U28" s="55"/>
      <c r="V28" s="55"/>
    </row>
    <row r="29" spans="1:22" ht="12.75" customHeight="1" x14ac:dyDescent="0.2">
      <c r="A29" s="57"/>
      <c r="C29" s="145" t="s">
        <v>161</v>
      </c>
      <c r="D29" s="146"/>
      <c r="E29" s="105">
        <f>'P_DE Marinas_Scenario_Calc'!J38</f>
        <v>5.4639180064585577</v>
      </c>
      <c r="F29" s="105">
        <f>'P_DE Marinas_Scenario_Calc'!K38</f>
        <v>11.089095992827637</v>
      </c>
      <c r="G29" s="105">
        <f>'P_DE Marinas_Scenario_Calc'!L38</f>
        <v>2.9671726925526954E-3</v>
      </c>
      <c r="H29" s="105">
        <f>'P_DE Marinas_Scenario_Calc'!M38</f>
        <v>3.8703197094590732E-3</v>
      </c>
      <c r="I29" s="105">
        <f>'P_DE Marinas_Scenario_Calc'!R38</f>
        <v>310.44988673059987</v>
      </c>
      <c r="J29" s="105">
        <f>'P_DE Marinas_Scenario_Calc'!S38</f>
        <v>1304.5995285679573</v>
      </c>
      <c r="K29" s="105">
        <f>'P_DE Marinas_Scenario_Calc'!T38</f>
        <v>0.16858935753140314</v>
      </c>
      <c r="L29" s="105">
        <f>'P_DE Marinas_Scenario_Calc'!U38</f>
        <v>0.4553317305245968</v>
      </c>
      <c r="M29" s="65"/>
      <c r="N29" s="71"/>
      <c r="O29" s="65"/>
      <c r="P29" s="63"/>
      <c r="R29" s="63"/>
      <c r="S29" s="55"/>
      <c r="T29" s="55"/>
      <c r="U29" s="55"/>
      <c r="V29" s="55"/>
    </row>
    <row r="30" spans="1:22" x14ac:dyDescent="0.2">
      <c r="A30" s="57"/>
      <c r="C30" s="145" t="s">
        <v>160</v>
      </c>
      <c r="D30" s="146"/>
      <c r="E30" s="105">
        <f>'P_DE Marinas_Scenario_Calc'!J39</f>
        <v>14.091195920551158</v>
      </c>
      <c r="F30" s="105">
        <f>'P_DE Marinas_Scenario_Calc'!K39</f>
        <v>114.97555575799102</v>
      </c>
      <c r="G30" s="105">
        <f>'P_DE Marinas_Scenario_Calc'!L39</f>
        <v>3.3903417585875546E-3</v>
      </c>
      <c r="H30" s="105">
        <f>'P_DE Marinas_Scenario_Calc'!M39</f>
        <v>3.8218068833992438E-2</v>
      </c>
      <c r="I30" s="105">
        <f>'P_DE Marinas_Scenario_Calc'!R39</f>
        <v>800.63613184949747</v>
      </c>
      <c r="J30" s="105">
        <f>'P_DE Marinas_Scenario_Calc'!S39</f>
        <v>13526.535971528352</v>
      </c>
      <c r="K30" s="105">
        <f>'P_DE Marinas_Scenario_Calc'!T39</f>
        <v>0.19263305446520193</v>
      </c>
      <c r="L30" s="105">
        <f>'P_DE Marinas_Scenario_Calc'!U39</f>
        <v>4.4962433922344038</v>
      </c>
      <c r="M30" s="63"/>
      <c r="N30" s="70"/>
      <c r="O30" s="63"/>
      <c r="P30" s="63"/>
      <c r="Q30" s="63"/>
      <c r="R30" s="63"/>
    </row>
    <row r="31" spans="1:22" ht="12.75" customHeight="1" x14ac:dyDescent="0.2">
      <c r="A31" s="57"/>
      <c r="C31" s="145" t="s">
        <v>12</v>
      </c>
      <c r="D31" s="146"/>
      <c r="E31" s="105">
        <f>'P_DE Marinas_Scenario_Calc'!J40</f>
        <v>45.751604046451973</v>
      </c>
      <c r="F31" s="105">
        <f>'P_DE Marinas_Scenario_Calc'!K40</f>
        <v>1499.6960332541196</v>
      </c>
      <c r="G31" s="105">
        <f>'P_DE Marinas_Scenario_Calc'!L40</f>
        <v>9.8554928699058596E-3</v>
      </c>
      <c r="H31" s="105">
        <f>'P_DE Marinas_Scenario_Calc'!M40</f>
        <v>0.53117201789077495</v>
      </c>
      <c r="I31" s="105">
        <f>'P_DE Marinas_Scenario_Calc'!R40</f>
        <v>2599.5229571847713</v>
      </c>
      <c r="J31" s="105">
        <f>'P_DE Marinas_Scenario_Calc'!S40</f>
        <v>176434.82744166112</v>
      </c>
      <c r="K31" s="105">
        <f>'P_DE Marinas_Scenario_Calc'!T40</f>
        <v>0.55997118579010563</v>
      </c>
      <c r="L31" s="105">
        <f>'P_DE Marinas_Scenario_Calc'!U40</f>
        <v>62.490825634208811</v>
      </c>
      <c r="N31" s="57"/>
    </row>
    <row r="32" spans="1:22" x14ac:dyDescent="0.2">
      <c r="A32" s="57"/>
      <c r="C32" s="145" t="s">
        <v>13</v>
      </c>
      <c r="D32" s="146"/>
      <c r="E32" s="105">
        <f>'P_DE Marinas_Scenario_Calc'!J41</f>
        <v>9.669882485321428E-2</v>
      </c>
      <c r="F32" s="105">
        <f>'P_DE Marinas_Scenario_Calc'!K41</f>
        <v>2.3023531204770568E-2</v>
      </c>
      <c r="G32" s="105">
        <f>'P_DE Marinas_Scenario_Calc'!L41</f>
        <v>9.3699119724398674E-5</v>
      </c>
      <c r="H32" s="105">
        <f>'P_DE Marinas_Scenario_Calc'!M41</f>
        <v>2.2309315852461654E-5</v>
      </c>
      <c r="I32" s="105">
        <f>'P_DE Marinas_Scenario_Calc'!R41</f>
        <v>5.4942514121144477</v>
      </c>
      <c r="J32" s="105">
        <f>'P_DE Marinas_Scenario_Calc'!S41</f>
        <v>2.7086507299730078</v>
      </c>
      <c r="K32" s="105">
        <f>'P_DE Marinas_Scenario_Calc'!T41</f>
        <v>5.3238136207044697E-3</v>
      </c>
      <c r="L32" s="105">
        <f>'P_DE Marinas_Scenario_Calc'!U41</f>
        <v>2.6246253944072532E-3</v>
      </c>
      <c r="N32" s="57"/>
    </row>
    <row r="33" spans="1:25" x14ac:dyDescent="0.2">
      <c r="A33" s="57"/>
      <c r="C33" s="63"/>
      <c r="D33" s="63"/>
      <c r="E33" s="63"/>
      <c r="F33" s="63"/>
      <c r="G33" s="63"/>
      <c r="H33" s="63"/>
      <c r="N33" s="57"/>
    </row>
    <row r="34" spans="1:25" x14ac:dyDescent="0.2">
      <c r="A34" s="57"/>
      <c r="B34" s="57"/>
      <c r="C34" s="58"/>
      <c r="D34" s="57"/>
      <c r="E34" s="57"/>
      <c r="F34" s="57"/>
      <c r="G34" s="57"/>
      <c r="H34" s="57"/>
      <c r="I34" s="57"/>
      <c r="J34" s="57"/>
      <c r="K34" s="57"/>
      <c r="L34" s="57"/>
      <c r="M34" s="57"/>
      <c r="N34" s="57"/>
      <c r="P34" s="64"/>
      <c r="Q34" s="64"/>
      <c r="R34" s="63"/>
      <c r="S34" s="63"/>
      <c r="T34" s="63"/>
      <c r="U34" s="63"/>
      <c r="V34" s="63"/>
      <c r="W34" s="63"/>
      <c r="X34" s="10"/>
      <c r="Y34" s="1"/>
    </row>
    <row r="35" spans="1:25" x14ac:dyDescent="0.2">
      <c r="A35" s="57"/>
      <c r="C35" s="53" t="s">
        <v>79</v>
      </c>
      <c r="N35" s="57"/>
    </row>
    <row r="36" spans="1:25" x14ac:dyDescent="0.2">
      <c r="A36" s="57"/>
      <c r="B36" s="74"/>
      <c r="N36" s="57"/>
    </row>
    <row r="37" spans="1:25" x14ac:dyDescent="0.2">
      <c r="A37" s="57"/>
      <c r="C37" s="72" t="s">
        <v>76</v>
      </c>
      <c r="D37" s="86"/>
      <c r="E37" s="86"/>
      <c r="F37" s="86"/>
      <c r="G37" s="86"/>
      <c r="N37" s="57"/>
    </row>
    <row r="38" spans="1:25" ht="105.95" customHeight="1" x14ac:dyDescent="0.2">
      <c r="A38" s="57"/>
      <c r="B38" s="74"/>
      <c r="C38" s="54" t="s">
        <v>8</v>
      </c>
      <c r="D38" s="130" t="s">
        <v>9</v>
      </c>
      <c r="E38" s="104" t="s">
        <v>133</v>
      </c>
      <c r="F38" s="104" t="s">
        <v>134</v>
      </c>
      <c r="G38" s="104" t="s">
        <v>135</v>
      </c>
      <c r="H38" s="104" t="s">
        <v>136</v>
      </c>
      <c r="N38" s="57"/>
    </row>
    <row r="39" spans="1:25" x14ac:dyDescent="0.2">
      <c r="A39" s="57"/>
      <c r="C39" s="107" t="s">
        <v>163</v>
      </c>
      <c r="D39" s="107" t="s">
        <v>11</v>
      </c>
      <c r="E39" s="105">
        <f>'P_DE Marinas_Scenario_Calc'!J21</f>
        <v>39.182311520498793</v>
      </c>
      <c r="F39" s="105">
        <f>'P_DE Marinas_Scenario_Calc'!K21</f>
        <v>11.52420975890921</v>
      </c>
      <c r="G39" s="105">
        <f>'P_DE Marinas_Scenario_Calc'!L21</f>
        <v>4.4686817730176936E-3</v>
      </c>
      <c r="H39" s="105">
        <f>'P_DE Marinas_Scenario_Calc'!M21</f>
        <v>1.3143182298783231E-3</v>
      </c>
      <c r="N39" s="57"/>
    </row>
    <row r="40" spans="1:25" x14ac:dyDescent="0.2">
      <c r="A40" s="57"/>
      <c r="C40" s="107" t="s">
        <v>164</v>
      </c>
      <c r="D40" s="107" t="s">
        <v>11</v>
      </c>
      <c r="E40" s="105">
        <f>'P_DE Marinas_Scenario_Calc'!J22</f>
        <v>4.3564306448274746</v>
      </c>
      <c r="F40" s="105">
        <f>'P_DE Marinas_Scenario_Calc'!K22</f>
        <v>11.089095992827637</v>
      </c>
      <c r="G40" s="105">
        <f>'P_DE Marinas_Scenario_Calc'!L22</f>
        <v>1.194806277704916E-3</v>
      </c>
      <c r="H40" s="105">
        <f>'P_DE Marinas_Scenario_Calc'!M22</f>
        <v>3.0413250089689034E-3</v>
      </c>
      <c r="N40" s="57"/>
    </row>
    <row r="41" spans="1:25" x14ac:dyDescent="0.2">
      <c r="A41" s="57"/>
      <c r="C41" s="107" t="s">
        <v>165</v>
      </c>
      <c r="D41" s="107" t="s">
        <v>11</v>
      </c>
      <c r="E41" s="105">
        <f>'P_DE Marinas_Scenario_Calc'!J23</f>
        <v>27.480998871470891</v>
      </c>
      <c r="F41" s="105">
        <f>'P_DE Marinas_Scenario_Calc'!K23</f>
        <v>138.40795853118402</v>
      </c>
      <c r="G41" s="105">
        <f>'P_DE Marinas_Scenario_Calc'!L23</f>
        <v>5.2385671842907645E-3</v>
      </c>
      <c r="H41" s="105">
        <f>'P_DE Marinas_Scenario_Calc'!M23</f>
        <v>2.6384026072875197E-2</v>
      </c>
      <c r="N41" s="57"/>
    </row>
    <row r="42" spans="1:25" x14ac:dyDescent="0.2">
      <c r="A42" s="57"/>
      <c r="C42" s="107" t="s">
        <v>166</v>
      </c>
      <c r="D42" s="107" t="s">
        <v>11</v>
      </c>
      <c r="E42" s="105">
        <f>'P_DE Marinas_Scenario_Calc'!J24</f>
        <v>10.20030565426875</v>
      </c>
      <c r="F42" s="105">
        <f>'P_DE Marinas_Scenario_Calc'!K24</f>
        <v>102.003056409783</v>
      </c>
      <c r="G42" s="105">
        <f>'P_DE Marinas_Scenario_Calc'!L24</f>
        <v>2.5676654526857723E-3</v>
      </c>
      <c r="H42" s="105">
        <f>'P_DE Marinas_Scenario_Calc'!M24</f>
        <v>2.567665459466691E-2</v>
      </c>
      <c r="N42" s="57"/>
    </row>
    <row r="43" spans="1:25" x14ac:dyDescent="0.2">
      <c r="A43" s="57"/>
      <c r="C43" s="107" t="s">
        <v>167</v>
      </c>
      <c r="D43" s="107" t="s">
        <v>11</v>
      </c>
      <c r="E43" s="105">
        <f>'P_DE Marinas_Scenario_Calc'!J25</f>
        <v>2.1104179959547618</v>
      </c>
      <c r="F43" s="105">
        <f>'P_DE Marinas_Scenario_Calc'!K25</f>
        <v>20.186608161351593</v>
      </c>
      <c r="G43" s="105">
        <f>'P_DE Marinas_Scenario_Calc'!L25</f>
        <v>4.5512907484921144E-4</v>
      </c>
      <c r="H43" s="105">
        <f>'P_DE Marinas_Scenario_Calc'!M25</f>
        <v>4.3534088002031611E-3</v>
      </c>
      <c r="N43" s="57"/>
    </row>
    <row r="44" spans="1:25" x14ac:dyDescent="0.2">
      <c r="A44" s="57"/>
      <c r="C44" s="107" t="s">
        <v>168</v>
      </c>
      <c r="D44" s="107" t="s">
        <v>11</v>
      </c>
      <c r="E44" s="105">
        <f>'P_DE Marinas_Scenario_Calc'!J26</f>
        <v>2.9117443562483234</v>
      </c>
      <c r="F44" s="105">
        <f>'P_DE Marinas_Scenario_Calc'!K26</f>
        <v>6.105270136246717</v>
      </c>
      <c r="G44" s="105">
        <f>'P_DE Marinas_Scenario_Calc'!L26</f>
        <v>1.7679201940436695E-3</v>
      </c>
      <c r="H44" s="105">
        <f>'P_DE Marinas_Scenario_Calc'!M26</f>
        <v>3.706929281242432E-3</v>
      </c>
      <c r="N44" s="57"/>
    </row>
    <row r="45" spans="1:25" x14ac:dyDescent="0.2">
      <c r="A45" s="57"/>
      <c r="C45" s="107" t="s">
        <v>169</v>
      </c>
      <c r="D45" s="107" t="s">
        <v>11</v>
      </c>
      <c r="E45" s="105">
        <f>'P_DE Marinas_Scenario_Calc'!J27</f>
        <v>5.4639180064585577</v>
      </c>
      <c r="F45" s="105">
        <f>'P_DE Marinas_Scenario_Calc'!K27</f>
        <v>1.0507534796542193</v>
      </c>
      <c r="G45" s="105">
        <f>'P_DE Marinas_Scenario_Calc'!L27</f>
        <v>3.4077505802838815E-3</v>
      </c>
      <c r="H45" s="105">
        <f>'P_DE Marinas_Scenario_Calc'!M27</f>
        <v>6.5533666140716446E-4</v>
      </c>
      <c r="N45" s="57"/>
    </row>
    <row r="46" spans="1:25" x14ac:dyDescent="0.2">
      <c r="A46" s="57"/>
      <c r="C46" s="107" t="s">
        <v>170</v>
      </c>
      <c r="D46" s="107" t="s">
        <v>11</v>
      </c>
      <c r="E46" s="105">
        <f>'P_DE Marinas_Scenario_Calc'!J28</f>
        <v>10.712114561710743</v>
      </c>
      <c r="F46" s="105">
        <f>'P_DE Marinas_Scenario_Calc'!K28</f>
        <v>1499.6960332541196</v>
      </c>
      <c r="G46" s="105">
        <f>'P_DE Marinas_Scenario_Calc'!L28</f>
        <v>3.7940858353141677E-3</v>
      </c>
      <c r="H46" s="105">
        <f>'P_DE Marinas_Scenario_Calc'!M28</f>
        <v>0.53117201789077495</v>
      </c>
      <c r="N46" s="57"/>
    </row>
    <row r="47" spans="1:25" x14ac:dyDescent="0.2">
      <c r="A47" s="57"/>
      <c r="C47" s="107" t="s">
        <v>171</v>
      </c>
      <c r="D47" s="107" t="s">
        <v>11</v>
      </c>
      <c r="E47" s="105">
        <f>'P_DE Marinas_Scenario_Calc'!J29</f>
        <v>3.2016442775677896</v>
      </c>
      <c r="F47" s="105">
        <f>'P_DE Marinas_Scenario_Calc'!K29</f>
        <v>5.0552279772663216</v>
      </c>
      <c r="G47" s="105">
        <f>'P_DE Marinas_Scenario_Calc'!L29</f>
        <v>5.914729414737697E-3</v>
      </c>
      <c r="H47" s="105">
        <f>'P_DE Marinas_Scenario_Calc'!M29</f>
        <v>9.3390467727542444E-3</v>
      </c>
      <c r="N47" s="57"/>
    </row>
    <row r="48" spans="1:25" x14ac:dyDescent="0.2">
      <c r="A48" s="57"/>
      <c r="C48" s="107" t="s">
        <v>172</v>
      </c>
      <c r="D48" s="107" t="s">
        <v>11</v>
      </c>
      <c r="E48" s="105">
        <f>'P_DE Marinas_Scenario_Calc'!J30</f>
        <v>9.669882485321428E-2</v>
      </c>
      <c r="F48" s="105">
        <f>'P_DE Marinas_Scenario_Calc'!K30</f>
        <v>2.3023531204770568E-2</v>
      </c>
      <c r="G48" s="105">
        <f>'P_DE Marinas_Scenario_Calc'!L30</f>
        <v>9.3699119724398674E-5</v>
      </c>
      <c r="H48" s="105">
        <f>'P_DE Marinas_Scenario_Calc'!M30</f>
        <v>2.2309315852461654E-5</v>
      </c>
      <c r="N48" s="57"/>
    </row>
    <row r="49" spans="1:14" x14ac:dyDescent="0.2">
      <c r="A49" s="57"/>
      <c r="C49" s="107" t="s">
        <v>173</v>
      </c>
      <c r="D49" s="107" t="s">
        <v>11</v>
      </c>
      <c r="E49" s="105">
        <f>'P_DE Marinas_Scenario_Calc'!J31</f>
        <v>34.991758736494631</v>
      </c>
      <c r="F49" s="105">
        <f>'P_DE Marinas_Scenario_Calc'!K31</f>
        <v>74.021035097409509</v>
      </c>
      <c r="G49" s="105">
        <f>'P_DE Marinas_Scenario_Calc'!L31</f>
        <v>9.8554928699058596E-3</v>
      </c>
      <c r="H49" s="105">
        <f>'P_DE Marinas_Scenario_Calc'!M31</f>
        <v>2.0848159999669106E-2</v>
      </c>
      <c r="N49" s="57"/>
    </row>
    <row r="50" spans="1:14" x14ac:dyDescent="0.2">
      <c r="A50" s="57"/>
      <c r="C50" s="107" t="s">
        <v>174</v>
      </c>
      <c r="D50" s="107" t="s">
        <v>11</v>
      </c>
      <c r="E50" s="105">
        <f>'P_DE Marinas_Scenario_Calc'!J32</f>
        <v>15.885519704931303</v>
      </c>
      <c r="F50" s="105">
        <f>'P_DE Marinas_Scenario_Calc'!K32</f>
        <v>14.441381999491082</v>
      </c>
      <c r="G50" s="105">
        <f>'P_DE Marinas_Scenario_Calc'!L32</f>
        <v>8.5601748550823125E-3</v>
      </c>
      <c r="H50" s="105">
        <f>'P_DE Marinas_Scenario_Calc'!M32</f>
        <v>7.7819773613730043E-3</v>
      </c>
      <c r="N50" s="57"/>
    </row>
    <row r="51" spans="1:14" x14ac:dyDescent="0.2">
      <c r="A51" s="57"/>
      <c r="C51" s="107" t="s">
        <v>175</v>
      </c>
      <c r="D51" s="107" t="s">
        <v>11</v>
      </c>
      <c r="E51" s="105">
        <f>'P_DE Marinas_Scenario_Calc'!J33</f>
        <v>2.7518763419976047</v>
      </c>
      <c r="F51" s="105">
        <f>'P_DE Marinas_Scenario_Calc'!K33</f>
        <v>8.5996135522861028</v>
      </c>
      <c r="G51" s="105">
        <f>'P_DE Marinas_Scenario_Calc'!L33</f>
        <v>1.238502305786068E-3</v>
      </c>
      <c r="H51" s="105">
        <f>'P_DE Marinas_Scenario_Calc'!M33</f>
        <v>3.8703197094590732E-3</v>
      </c>
      <c r="N51" s="57"/>
    </row>
    <row r="52" spans="1:14" x14ac:dyDescent="0.2">
      <c r="A52" s="57"/>
      <c r="C52" s="107" t="s">
        <v>176</v>
      </c>
      <c r="D52" s="107" t="s">
        <v>11</v>
      </c>
      <c r="E52" s="105">
        <f>'P_DE Marinas_Scenario_Calc'!J34</f>
        <v>2.7860741802651985</v>
      </c>
      <c r="F52" s="105">
        <f>'P_DE Marinas_Scenario_Calc'!K34</f>
        <v>0.3095638008757895</v>
      </c>
      <c r="G52" s="105">
        <f>'P_DE Marinas_Scenario_Calc'!L34</f>
        <v>4.960064065932466E-4</v>
      </c>
      <c r="H52" s="105">
        <f>'P_DE Marinas_Scenario_Calc'!M34</f>
        <v>5.5111823578852836E-5</v>
      </c>
      <c r="N52" s="57"/>
    </row>
    <row r="53" spans="1:14" x14ac:dyDescent="0.2">
      <c r="A53" s="57"/>
      <c r="C53" s="107" t="s">
        <v>177</v>
      </c>
      <c r="D53" s="107" t="s">
        <v>11</v>
      </c>
      <c r="E53" s="105">
        <f>'P_DE Marinas_Scenario_Calc'!J35</f>
        <v>28.898303338364588</v>
      </c>
      <c r="F53" s="105">
        <f>'P_DE Marinas_Scenario_Calc'!K35</f>
        <v>8.0915249816944286</v>
      </c>
      <c r="G53" s="105">
        <f>'P_DE Marinas_Scenario_Calc'!L35</f>
        <v>1.6781018524206447E-3</v>
      </c>
      <c r="H53" s="105">
        <f>'P_DE Marinas_Scenario_Calc'!M35</f>
        <v>4.6986852311680125E-4</v>
      </c>
      <c r="N53" s="57"/>
    </row>
    <row r="54" spans="1:14" x14ac:dyDescent="0.2">
      <c r="A54" s="57"/>
      <c r="C54" s="107" t="s">
        <v>178</v>
      </c>
      <c r="D54" s="107" t="s">
        <v>11</v>
      </c>
      <c r="E54" s="105">
        <f>'P_DE Marinas_Scenario_Calc'!J36</f>
        <v>45.751604046451973</v>
      </c>
      <c r="F54" s="105">
        <f>'P_DE Marinas_Scenario_Calc'!K36</f>
        <v>48.442872047532987</v>
      </c>
      <c r="G54" s="105">
        <f>'P_DE Marinas_Scenario_Calc'!L36</f>
        <v>2.9671726925526954E-3</v>
      </c>
      <c r="H54" s="105">
        <f>'P_DE Marinas_Scenario_Calc'!M36</f>
        <v>3.1417121180600765E-3</v>
      </c>
      <c r="N54" s="57"/>
    </row>
    <row r="55" spans="1:14" x14ac:dyDescent="0.2">
      <c r="A55" s="57"/>
      <c r="C55" s="107" t="s">
        <v>179</v>
      </c>
      <c r="D55" s="107" t="s">
        <v>11</v>
      </c>
      <c r="E55" s="105">
        <f>'P_DE Marinas_Scenario_Calc'!J37</f>
        <v>2.7686095870050824</v>
      </c>
      <c r="F55" s="105">
        <f>'P_DE Marinas_Scenario_Calc'!K37</f>
        <v>5.5372191740101648</v>
      </c>
      <c r="G55" s="105">
        <f>'P_DE Marinas_Scenario_Calc'!L37</f>
        <v>3.9373240069954284E-3</v>
      </c>
      <c r="H55" s="105">
        <f>'P_DE Marinas_Scenario_Calc'!M37</f>
        <v>7.8746480139908395E-3</v>
      </c>
      <c r="N55" s="57"/>
    </row>
    <row r="56" spans="1:14" x14ac:dyDescent="0.2">
      <c r="A56" s="57"/>
      <c r="C56" s="82"/>
      <c r="D56" s="82"/>
      <c r="E56" s="83"/>
      <c r="F56" s="83"/>
      <c r="G56" s="83"/>
      <c r="H56" s="83"/>
      <c r="N56" s="57"/>
    </row>
    <row r="57" spans="1:14" x14ac:dyDescent="0.2">
      <c r="A57" s="57"/>
      <c r="B57" s="74"/>
      <c r="C57" s="52" t="s">
        <v>77</v>
      </c>
      <c r="N57" s="57"/>
    </row>
    <row r="58" spans="1:14" x14ac:dyDescent="0.2">
      <c r="A58" s="57"/>
      <c r="C58" s="74" t="s">
        <v>83</v>
      </c>
      <c r="N58" s="57"/>
    </row>
    <row r="59" spans="1:14" ht="120" customHeight="1" x14ac:dyDescent="0.2">
      <c r="A59" s="57"/>
      <c r="C59" s="54" t="s">
        <v>8</v>
      </c>
      <c r="D59" s="130" t="s">
        <v>9</v>
      </c>
      <c r="E59" s="104" t="s">
        <v>58</v>
      </c>
      <c r="F59" s="104" t="s">
        <v>59</v>
      </c>
      <c r="G59" s="104" t="s">
        <v>60</v>
      </c>
      <c r="H59" s="104" t="s">
        <v>61</v>
      </c>
      <c r="N59" s="57"/>
    </row>
    <row r="60" spans="1:14" x14ac:dyDescent="0.2">
      <c r="A60" s="57"/>
      <c r="C60" s="107" t="s">
        <v>196</v>
      </c>
      <c r="D60" s="107" t="s">
        <v>11</v>
      </c>
      <c r="E60" s="105">
        <f>'P_DE Marinas_Scenario_Calc'!R21</f>
        <v>2226.2677000283402</v>
      </c>
      <c r="F60" s="105">
        <f>'P_DE Marinas_Scenario_Calc'!S21</f>
        <v>1355.7893834010833</v>
      </c>
      <c r="G60" s="105">
        <f>'P_DE Marinas_Scenario_Calc'!T21</f>
        <v>0.25390237346691441</v>
      </c>
      <c r="H60" s="105">
        <f>'P_DE Marinas_Scenario_Calc'!U21</f>
        <v>0.15462567410333211</v>
      </c>
      <c r="N60" s="57"/>
    </row>
    <row r="61" spans="1:14" x14ac:dyDescent="0.2">
      <c r="A61" s="57"/>
      <c r="C61" s="107" t="s">
        <v>197</v>
      </c>
      <c r="D61" s="107" t="s">
        <v>11</v>
      </c>
      <c r="E61" s="105">
        <f>'P_DE Marinas_Scenario_Calc'!R22</f>
        <v>247.52446845610649</v>
      </c>
      <c r="F61" s="105">
        <f>'P_DE Marinas_Scenario_Calc'!S22</f>
        <v>1304.5995285679573</v>
      </c>
      <c r="G61" s="105">
        <f>'P_DE Marinas_Scenario_Calc'!T22</f>
        <v>6.7886720324142946E-2</v>
      </c>
      <c r="H61" s="105">
        <f>'P_DE Marinas_Scenario_Calc'!U22</f>
        <v>0.35780294223163567</v>
      </c>
      <c r="N61" s="57"/>
    </row>
    <row r="62" spans="1:14" x14ac:dyDescent="0.2">
      <c r="A62" s="57"/>
      <c r="C62" s="107" t="s">
        <v>198</v>
      </c>
      <c r="D62" s="107" t="s">
        <v>11</v>
      </c>
      <c r="E62" s="105">
        <f>'P_DE Marinas_Scenario_Calc'!R23</f>
        <v>1561.4203904244823</v>
      </c>
      <c r="F62" s="105">
        <f>'P_DE Marinas_Scenario_Calc'!S23</f>
        <v>16283.289238962825</v>
      </c>
      <c r="G62" s="105">
        <f>'P_DE Marinas_Scenario_Calc'!T23</f>
        <v>0.2976458627437934</v>
      </c>
      <c r="H62" s="105">
        <f>'P_DE Marinas_Scenario_Calc'!U23</f>
        <v>3.1040030673970818</v>
      </c>
      <c r="N62" s="57"/>
    </row>
    <row r="63" spans="1:14" x14ac:dyDescent="0.2">
      <c r="A63" s="57"/>
      <c r="C63" s="107" t="s">
        <v>199</v>
      </c>
      <c r="D63" s="107" t="s">
        <v>11</v>
      </c>
      <c r="E63" s="105">
        <f>'P_DE Marinas_Scenario_Calc'!R24</f>
        <v>579.5628212652698</v>
      </c>
      <c r="F63" s="105">
        <f>'P_DE Marinas_Scenario_Calc'!S24</f>
        <v>12000.359577621528</v>
      </c>
      <c r="G63" s="105">
        <f>'P_DE Marinas_Scenario_Calc'!T24</f>
        <v>0.14589008253896432</v>
      </c>
      <c r="H63" s="105">
        <f>'P_DE Marinas_Scenario_Calc'!U24</f>
        <v>3.0207828934902246</v>
      </c>
      <c r="N63" s="57"/>
    </row>
    <row r="64" spans="1:14" x14ac:dyDescent="0.2">
      <c r="A64" s="57"/>
      <c r="C64" s="107" t="s">
        <v>200</v>
      </c>
      <c r="D64" s="107" t="s">
        <v>11</v>
      </c>
      <c r="E64" s="105">
        <f>'P_DE Marinas_Scenario_Calc'!R25</f>
        <v>119.91011340652055</v>
      </c>
      <c r="F64" s="105">
        <f>'P_DE Marinas_Scenario_Calc'!S25</f>
        <v>2374.8950778060698</v>
      </c>
      <c r="G64" s="105">
        <f>'P_DE Marinas_Scenario_Calc'!T25</f>
        <v>2.5859606525523375E-2</v>
      </c>
      <c r="H64" s="105">
        <f>'P_DE Marinas_Scenario_Calc'!U25</f>
        <v>0.51216574120037184</v>
      </c>
      <c r="N64" s="57"/>
    </row>
    <row r="65" spans="1:14" x14ac:dyDescent="0.2">
      <c r="A65" s="57"/>
      <c r="C65" s="107" t="s">
        <v>201</v>
      </c>
      <c r="D65" s="107" t="s">
        <v>11</v>
      </c>
      <c r="E65" s="105">
        <f>'P_DE Marinas_Scenario_Calc'!R26</f>
        <v>165.440020241382</v>
      </c>
      <c r="F65" s="105">
        <f>'P_DE Marinas_Scenario_Calc'!S26</f>
        <v>718.26707485255486</v>
      </c>
      <c r="G65" s="105">
        <f>'P_DE Marinas_Scenario_Calc'!T26</f>
        <v>0.10045001102520848</v>
      </c>
      <c r="H65" s="105">
        <f>'P_DE Marinas_Scenario_Calc'!U26</f>
        <v>0.43610932720499196</v>
      </c>
      <c r="N65" s="57"/>
    </row>
    <row r="66" spans="1:14" x14ac:dyDescent="0.2">
      <c r="A66" s="57"/>
      <c r="C66" s="107" t="s">
        <v>202</v>
      </c>
      <c r="D66" s="107" t="s">
        <v>11</v>
      </c>
      <c r="E66" s="105">
        <f>'P_DE Marinas_Scenario_Calc'!R27</f>
        <v>310.44988673059987</v>
      </c>
      <c r="F66" s="105">
        <f>'P_DE Marinas_Scenario_Calc'!S27</f>
        <v>123.61805642990814</v>
      </c>
      <c r="G66" s="105">
        <f>'P_DE Marinas_Scenario_Calc'!T27</f>
        <v>0.19362219206158415</v>
      </c>
      <c r="H66" s="105">
        <f>'P_DE Marinas_Scenario_Calc'!U27</f>
        <v>7.7098430753784045E-2</v>
      </c>
      <c r="N66" s="57"/>
    </row>
    <row r="67" spans="1:14" x14ac:dyDescent="0.2">
      <c r="A67" s="57"/>
      <c r="C67" s="107" t="s">
        <v>203</v>
      </c>
      <c r="D67" s="107" t="s">
        <v>11</v>
      </c>
      <c r="E67" s="105">
        <f>'P_DE Marinas_Scenario_Calc'!R28</f>
        <v>608.64287282447401</v>
      </c>
      <c r="F67" s="105">
        <f>'P_DE Marinas_Scenario_Calc'!S28</f>
        <v>176434.82744166112</v>
      </c>
      <c r="G67" s="105">
        <f>'P_DE Marinas_Scenario_Calc'!T28</f>
        <v>0.2155730588246686</v>
      </c>
      <c r="H67" s="105">
        <f>'P_DE Marinas_Scenario_Calc'!U28</f>
        <v>62.490825634208811</v>
      </c>
      <c r="N67" s="57"/>
    </row>
    <row r="68" spans="1:14" x14ac:dyDescent="0.2">
      <c r="A68" s="57"/>
      <c r="C68" s="107" t="s">
        <v>204</v>
      </c>
      <c r="D68" s="107" t="s">
        <v>11</v>
      </c>
      <c r="E68" s="105">
        <f>'P_DE Marinas_Scenario_Calc'!R29</f>
        <v>181.91160667998804</v>
      </c>
      <c r="F68" s="105">
        <f>'P_DE Marinas_Scenario_Calc'!S29</f>
        <v>594.7327032078025</v>
      </c>
      <c r="G68" s="105">
        <f>'P_DE Marinas_Scenario_Calc'!T29</f>
        <v>0.33606417129191457</v>
      </c>
      <c r="H68" s="105">
        <f>'P_DE Marinas_Scenario_Calc'!U29</f>
        <v>1.0987113850299111</v>
      </c>
      <c r="N68" s="57"/>
    </row>
    <row r="69" spans="1:14" x14ac:dyDescent="0.2">
      <c r="A69" s="57"/>
      <c r="C69" s="107" t="s">
        <v>205</v>
      </c>
      <c r="D69" s="107" t="s">
        <v>11</v>
      </c>
      <c r="E69" s="105">
        <f>'P_DE Marinas_Scenario_Calc'!R30</f>
        <v>5.4942514121144477</v>
      </c>
      <c r="F69" s="105">
        <f>'P_DE Marinas_Scenario_Calc'!S30</f>
        <v>2.7086507299730078</v>
      </c>
      <c r="G69" s="105">
        <f>'P_DE Marinas_Scenario_Calc'!T30</f>
        <v>5.3238136207044697E-3</v>
      </c>
      <c r="H69" s="105">
        <f>'P_DE Marinas_Scenario_Calc'!U30</f>
        <v>2.6246253944072532E-3</v>
      </c>
      <c r="N69" s="57"/>
    </row>
    <row r="70" spans="1:14" x14ac:dyDescent="0.2">
      <c r="A70" s="57"/>
      <c r="C70" s="107" t="s">
        <v>206</v>
      </c>
      <c r="D70" s="107" t="s">
        <v>11</v>
      </c>
      <c r="E70" s="105">
        <f>'P_DE Marinas_Scenario_Calc'!R31</f>
        <v>1988.1681100281039</v>
      </c>
      <c r="F70" s="105">
        <f>'P_DE Marinas_Scenario_Calc'!S31</f>
        <v>8708.3570702834713</v>
      </c>
      <c r="G70" s="105">
        <f>'P_DE Marinas_Scenario_Calc'!T31</f>
        <v>0.55997118579010563</v>
      </c>
      <c r="H70" s="105">
        <f>'P_DE Marinas_Scenario_Calc'!U31</f>
        <v>2.4527247058434241</v>
      </c>
      <c r="N70" s="57"/>
    </row>
    <row r="71" spans="1:14" x14ac:dyDescent="0.2">
      <c r="A71" s="57"/>
      <c r="C71" s="107" t="s">
        <v>207</v>
      </c>
      <c r="D71" s="107" t="s">
        <v>11</v>
      </c>
      <c r="E71" s="105">
        <f>'P_DE Marinas_Scenario_Calc'!R32</f>
        <v>902.58634687109668</v>
      </c>
      <c r="F71" s="105">
        <f>'P_DE Marinas_Scenario_Calc'!S32</f>
        <v>1698.9861175871861</v>
      </c>
      <c r="G71" s="105">
        <f>'P_DE Marinas_Scenario_Calc'!T32</f>
        <v>0.486373571311495</v>
      </c>
      <c r="H71" s="105">
        <f>'P_DE Marinas_Scenario_Calc'!U32</f>
        <v>0.91552674839682402</v>
      </c>
      <c r="N71" s="57"/>
    </row>
    <row r="72" spans="1:14" x14ac:dyDescent="0.2">
      <c r="A72" s="57"/>
      <c r="C72" s="107" t="s">
        <v>208</v>
      </c>
      <c r="D72" s="107" t="s">
        <v>11</v>
      </c>
      <c r="E72" s="105">
        <f>'P_DE Marinas_Scenario_Calc'!R33</f>
        <v>156.35661034077299</v>
      </c>
      <c r="F72" s="105">
        <f>'P_DE Marinas_Scenario_Calc'!S33</f>
        <v>1011.7192414454238</v>
      </c>
      <c r="G72" s="105">
        <f>'P_DE Marinas_Scenario_Calc'!T33</f>
        <v>7.0369449192390215E-2</v>
      </c>
      <c r="H72" s="105">
        <f>'P_DE Marinas_Scenario_Calc'!U33</f>
        <v>0.4553317305245968</v>
      </c>
      <c r="N72" s="57"/>
    </row>
    <row r="73" spans="1:14" x14ac:dyDescent="0.2">
      <c r="A73" s="57"/>
      <c r="C73" s="107" t="s">
        <v>209</v>
      </c>
      <c r="D73" s="107" t="s">
        <v>11</v>
      </c>
      <c r="E73" s="105">
        <f>'P_DE Marinas_Scenario_Calc'!R34</f>
        <v>158.29966933324991</v>
      </c>
      <c r="F73" s="105">
        <f>'P_DE Marinas_Scenario_Calc'!S34</f>
        <v>36.419270691269347</v>
      </c>
      <c r="G73" s="105">
        <f>'P_DE Marinas_Scenario_Calc'!T34</f>
        <v>2.81821821927981E-2</v>
      </c>
      <c r="H73" s="105">
        <f>'P_DE Marinas_Scenario_Calc'!U34</f>
        <v>6.4837439504532744E-3</v>
      </c>
      <c r="N73" s="57"/>
    </row>
    <row r="74" spans="1:14" x14ac:dyDescent="0.2">
      <c r="A74" s="57"/>
      <c r="C74" s="107" t="s">
        <v>210</v>
      </c>
      <c r="D74" s="107" t="s">
        <v>11</v>
      </c>
      <c r="E74" s="105">
        <f>'P_DE Marinas_Scenario_Calc'!R35</f>
        <v>1641.9490533161697</v>
      </c>
      <c r="F74" s="105">
        <f>'P_DE Marinas_Scenario_Calc'!S35</f>
        <v>951.94411549346216</v>
      </c>
      <c r="G74" s="105">
        <f>'P_DE Marinas_Scenario_Calc'!T35</f>
        <v>9.5346696160263894E-2</v>
      </c>
      <c r="H74" s="105">
        <f>'P_DE Marinas_Scenario_Calc'!U35</f>
        <v>5.5278649778447202E-2</v>
      </c>
      <c r="N74" s="57"/>
    </row>
    <row r="75" spans="1:14" x14ac:dyDescent="0.2">
      <c r="A75" s="57"/>
      <c r="C75" s="107" t="s">
        <v>211</v>
      </c>
      <c r="D75" s="107" t="s">
        <v>11</v>
      </c>
      <c r="E75" s="105">
        <f>'P_DE Marinas_Scenario_Calc'!R36</f>
        <v>2599.5229571847713</v>
      </c>
      <c r="F75" s="105">
        <f>'P_DE Marinas_Scenario_Calc'!S36</f>
        <v>5699.1614173568214</v>
      </c>
      <c r="G75" s="105">
        <f>'P_DE Marinas_Scenario_Calc'!T36</f>
        <v>0.16858935753140314</v>
      </c>
      <c r="H75" s="105">
        <f>'P_DE Marinas_Scenario_Calc'!U36</f>
        <v>0.369613190360009</v>
      </c>
      <c r="N75" s="57"/>
    </row>
    <row r="76" spans="1:14" x14ac:dyDescent="0.2">
      <c r="A76" s="57"/>
      <c r="C76" s="107" t="s">
        <v>212</v>
      </c>
      <c r="D76" s="107" t="s">
        <v>11</v>
      </c>
      <c r="E76" s="105">
        <f>'P_DE Marinas_Scenario_Calc'!R37</f>
        <v>157.30736289801604</v>
      </c>
      <c r="F76" s="105">
        <f>'P_DE Marinas_Scenario_Calc'!S37</f>
        <v>651.43754988354874</v>
      </c>
      <c r="G76" s="105">
        <f>'P_DE Marinas_Scenario_Calc'!T37</f>
        <v>0.2237115913065584</v>
      </c>
      <c r="H76" s="105">
        <f>'P_DE Marinas_Scenario_Calc'!U37</f>
        <v>0.92642917811656933</v>
      </c>
      <c r="N76" s="57"/>
    </row>
    <row r="77" spans="1:14" x14ac:dyDescent="0.2">
      <c r="A77" s="57"/>
      <c r="B77" s="74"/>
      <c r="N77" s="57"/>
    </row>
    <row r="78" spans="1:14" x14ac:dyDescent="0.2">
      <c r="A78" s="57"/>
      <c r="B78" s="57"/>
      <c r="C78" s="57"/>
      <c r="D78" s="57"/>
      <c r="E78" s="57"/>
      <c r="F78" s="57"/>
      <c r="G78" s="57"/>
      <c r="H78" s="57"/>
      <c r="I78" s="57"/>
      <c r="J78" s="57"/>
      <c r="K78" s="57"/>
      <c r="L78" s="57"/>
      <c r="M78" s="57"/>
      <c r="N78" s="57"/>
    </row>
    <row r="79" spans="1:14" hidden="1" x14ac:dyDescent="0.2"/>
    <row r="80" spans="1:14"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sheetData>
  <mergeCells count="13">
    <mergeCell ref="C18:E18"/>
    <mergeCell ref="C9:F9"/>
    <mergeCell ref="C11:F11"/>
    <mergeCell ref="C15:F15"/>
    <mergeCell ref="C16:E16"/>
    <mergeCell ref="C17:E17"/>
    <mergeCell ref="C32:D32"/>
    <mergeCell ref="C29:D29"/>
    <mergeCell ref="C19:E19"/>
    <mergeCell ref="C21:F21"/>
    <mergeCell ref="C28:D28"/>
    <mergeCell ref="C30:D30"/>
    <mergeCell ref="C31:D31"/>
  </mergeCells>
  <conditionalFormatting sqref="E60:H76">
    <cfRule type="cellIs" dxfId="19" priority="2" operator="greaterThan">
      <formula>1</formula>
    </cfRule>
  </conditionalFormatting>
  <conditionalFormatting sqref="E29:L32">
    <cfRule type="cellIs" dxfId="18" priority="1" operator="greaterThan">
      <formula>1</formula>
    </cfRule>
  </conditionalFormatting>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sheetPr>
  <dimension ref="B2:N51"/>
  <sheetViews>
    <sheetView zoomScale="90" zoomScaleNormal="90" workbookViewId="0">
      <selection activeCell="B12" sqref="B12"/>
    </sheetView>
  </sheetViews>
  <sheetFormatPr baseColWidth="10" defaultColWidth="9" defaultRowHeight="12.75" x14ac:dyDescent="0.2"/>
  <cols>
    <col min="1" max="1" width="9" style="1"/>
    <col min="2" max="2" width="24" style="1" bestFit="1" customWidth="1"/>
    <col min="3" max="3" width="3.875" style="99" customWidth="1"/>
    <col min="4" max="4" width="25.625" style="1" customWidth="1"/>
    <col min="5" max="12" width="11.625" style="1" customWidth="1"/>
    <col min="13" max="16384" width="9" style="1"/>
  </cols>
  <sheetData>
    <row r="2" spans="2:13" ht="21" thickBot="1" x14ac:dyDescent="0.35">
      <c r="B2" s="151" t="s">
        <v>90</v>
      </c>
      <c r="C2" s="151"/>
      <c r="D2" s="151"/>
      <c r="E2" s="151"/>
      <c r="F2" s="151"/>
      <c r="G2" s="151"/>
      <c r="H2" s="151"/>
      <c r="I2" s="151"/>
      <c r="J2" s="151"/>
      <c r="K2" s="151"/>
      <c r="L2" s="151"/>
      <c r="M2" s="151"/>
    </row>
    <row r="3" spans="2:13" ht="13.5" thickTop="1" x14ac:dyDescent="0.2">
      <c r="B3" s="113" t="str">
        <f>Tooltype</f>
        <v>Calculator tool for the German scenario for inland water marinas</v>
      </c>
      <c r="C3" s="113"/>
      <c r="D3" s="113"/>
      <c r="E3" s="74"/>
      <c r="F3" s="74"/>
      <c r="G3" s="74"/>
      <c r="H3" s="74"/>
      <c r="I3" s="74"/>
      <c r="J3" s="74"/>
      <c r="K3" s="74"/>
      <c r="L3" s="74"/>
    </row>
    <row r="4" spans="2:13" ht="15" x14ac:dyDescent="0.2">
      <c r="B4" s="152" t="s">
        <v>80</v>
      </c>
      <c r="C4" s="152"/>
      <c r="D4" s="152"/>
      <c r="E4" s="152"/>
      <c r="F4" s="152"/>
      <c r="G4" s="74"/>
      <c r="H4" s="74"/>
      <c r="I4" s="74"/>
      <c r="J4" s="74"/>
      <c r="K4" s="74"/>
      <c r="L4" s="74"/>
    </row>
    <row r="5" spans="2:13" x14ac:dyDescent="0.2">
      <c r="B5" s="153" t="s">
        <v>118</v>
      </c>
      <c r="C5" s="153"/>
      <c r="D5" s="153"/>
      <c r="E5" s="153"/>
      <c r="F5" s="81">
        <f>C_PNEC_Aquatic_Inside</f>
        <v>7.8</v>
      </c>
      <c r="H5" s="74"/>
      <c r="I5" s="74"/>
      <c r="J5" s="74"/>
      <c r="K5" s="74"/>
      <c r="L5" s="74"/>
    </row>
    <row r="6" spans="2:13" x14ac:dyDescent="0.2">
      <c r="B6" s="153" t="s">
        <v>119</v>
      </c>
      <c r="C6" s="153"/>
      <c r="D6" s="153"/>
      <c r="E6" s="153"/>
      <c r="F6" s="81">
        <f>C_PNEC_Sediment_Inside</f>
        <v>87</v>
      </c>
      <c r="H6" s="74"/>
      <c r="I6" s="74"/>
      <c r="J6" s="74"/>
      <c r="K6" s="74"/>
      <c r="L6" s="74"/>
    </row>
    <row r="7" spans="2:13" x14ac:dyDescent="0.2">
      <c r="B7" s="153" t="s">
        <v>120</v>
      </c>
      <c r="C7" s="153"/>
      <c r="D7" s="153"/>
      <c r="E7" s="153"/>
      <c r="F7" s="81">
        <f>C_PNEC_Aquatic_Surrounding</f>
        <v>7.8</v>
      </c>
      <c r="H7" s="74"/>
      <c r="I7" s="74"/>
      <c r="J7" s="74"/>
      <c r="K7" s="74"/>
      <c r="L7" s="74"/>
    </row>
    <row r="8" spans="2:13" x14ac:dyDescent="0.2">
      <c r="B8" s="153" t="s">
        <v>121</v>
      </c>
      <c r="C8" s="153"/>
      <c r="D8" s="153"/>
      <c r="E8" s="153"/>
      <c r="F8" s="81">
        <f>C_PNEC_Sediment_Surrounding</f>
        <v>87</v>
      </c>
      <c r="H8" s="74"/>
      <c r="I8" s="74"/>
      <c r="J8" s="74"/>
      <c r="K8" s="74"/>
      <c r="L8" s="74"/>
    </row>
    <row r="9" spans="2:13" x14ac:dyDescent="0.2">
      <c r="I9" s="74"/>
      <c r="J9" s="74"/>
      <c r="K9" s="74"/>
      <c r="L9" s="74"/>
    </row>
    <row r="10" spans="2:13" ht="15" x14ac:dyDescent="0.2">
      <c r="B10" s="142" t="s">
        <v>183</v>
      </c>
      <c r="C10" s="142"/>
      <c r="D10" s="142"/>
      <c r="E10" s="142"/>
      <c r="F10" s="142"/>
      <c r="G10" s="142"/>
      <c r="H10" s="142"/>
      <c r="I10" s="74"/>
      <c r="J10" s="74"/>
      <c r="K10" s="74"/>
      <c r="L10" s="74"/>
    </row>
    <row r="11" spans="2:13" ht="99.95" customHeight="1" x14ac:dyDescent="0.2">
      <c r="B11" s="79" t="s">
        <v>8</v>
      </c>
      <c r="C11" s="75" t="s">
        <v>109</v>
      </c>
      <c r="D11" s="79" t="s">
        <v>10</v>
      </c>
      <c r="E11" s="8" t="s">
        <v>124</v>
      </c>
      <c r="F11" s="8" t="s">
        <v>125</v>
      </c>
      <c r="G11" s="8" t="s">
        <v>126</v>
      </c>
      <c r="H11" s="8" t="s">
        <v>127</v>
      </c>
      <c r="I11" s="74"/>
      <c r="J11" s="74"/>
      <c r="K11" s="74"/>
      <c r="L11" s="74"/>
    </row>
    <row r="12" spans="2:13" ht="13.5" customHeight="1" x14ac:dyDescent="0.2">
      <c r="B12" s="80" t="str">
        <f>'C+P_DE Marinas_Scenario_Cal'!B7</f>
        <v>Inland water marina 1</v>
      </c>
      <c r="C12" s="80" t="str">
        <f>'C+P_DE Marinas_Scenario_Cal'!C7</f>
        <v>DE</v>
      </c>
      <c r="D12" s="80" t="str">
        <f>'C+P_DE Marinas_Scenario_Cal'!D7</f>
        <v>Copper and pyrithione</v>
      </c>
      <c r="E12" s="68">
        <f>'C+P_DE Marinas_Scenario_Cal'!E7</f>
        <v>2227.9911369859174</v>
      </c>
      <c r="F12" s="68">
        <f>'C+P_DE Marinas_Scenario_Cal'!F7</f>
        <v>1360.3982879591854</v>
      </c>
      <c r="G12" s="68">
        <f>'C+P_DE Marinas_Scenario_Cal'!G7</f>
        <v>0.36696027162959088</v>
      </c>
      <c r="H12" s="68">
        <f>'C+P_DE Marinas_Scenario_Cal'!H7</f>
        <v>0.39664870474240432</v>
      </c>
      <c r="I12" s="74"/>
      <c r="J12" s="74"/>
      <c r="K12" s="74"/>
      <c r="L12" s="74"/>
    </row>
    <row r="13" spans="2:13" ht="16.5" customHeight="1" x14ac:dyDescent="0.2">
      <c r="B13" s="80" t="str">
        <f>'C+P_DE Marinas_Scenario_Cal'!B8</f>
        <v>Inland water marina 2</v>
      </c>
      <c r="C13" s="80" t="str">
        <f>'C+P_DE Marinas_Scenario_Cal'!C8</f>
        <v>DE</v>
      </c>
      <c r="D13" s="80" t="str">
        <f>'C+P_DE Marinas_Scenario_Cal'!D8</f>
        <v>Copper and pyrithione</v>
      </c>
      <c r="E13" s="68">
        <f>'C+P_DE Marinas_Scenario_Cal'!E8</f>
        <v>248.11528913302928</v>
      </c>
      <c r="F13" s="68">
        <f>'C+P_DE Marinas_Scenario_Cal'!F8</f>
        <v>1306.1371058870734</v>
      </c>
      <c r="G13" s="68">
        <f>'C+P_DE Marinas_Scenario_Cal'!G8</f>
        <v>0.18083881054191622</v>
      </c>
      <c r="H13" s="68">
        <f>'C+P_DE Marinas_Scenario_Cal'!H8</f>
        <v>0.59953905236836891</v>
      </c>
      <c r="I13" s="74"/>
      <c r="J13" s="74"/>
      <c r="K13" s="74"/>
      <c r="L13" s="74"/>
    </row>
    <row r="14" spans="2:13" ht="16.5" customHeight="1" x14ac:dyDescent="0.2">
      <c r="B14" s="80" t="str">
        <f>'C+P_DE Marinas_Scenario_Cal'!B9</f>
        <v>Inland water marina 3</v>
      </c>
      <c r="C14" s="80" t="str">
        <f>'C+P_DE Marinas_Scenario_Cal'!C9</f>
        <v>DE</v>
      </c>
      <c r="D14" s="80" t="str">
        <f>'C+P_DE Marinas_Scenario_Cal'!D9</f>
        <v>Copper and pyrithione</v>
      </c>
      <c r="E14" s="68">
        <f>'C+P_DE Marinas_Scenario_Cal'!E9</f>
        <v>1562.7578169230289</v>
      </c>
      <c r="F14" s="68">
        <f>'C+P_DE Marinas_Scenario_Cal'!F9</f>
        <v>16286.851395029449</v>
      </c>
      <c r="G14" s="68">
        <f>'C+P_DE Marinas_Scenario_Cal'!G9</f>
        <v>0.41078331168851434</v>
      </c>
      <c r="H14" s="68">
        <f>'C+P_DE Marinas_Scenario_Cal'!H9</f>
        <v>3.3462418167165864</v>
      </c>
      <c r="I14" s="74"/>
      <c r="J14" s="74"/>
      <c r="K14" s="74"/>
      <c r="L14" s="74"/>
    </row>
    <row r="15" spans="2:13" ht="16.5" customHeight="1" x14ac:dyDescent="0.2">
      <c r="B15" s="80" t="str">
        <f>'C+P_DE Marinas_Scenario_Cal'!B10</f>
        <v>Inland water marina 4</v>
      </c>
      <c r="C15" s="80" t="str">
        <f>'C+P_DE Marinas_Scenario_Cal'!C10</f>
        <v>DE</v>
      </c>
      <c r="D15" s="80" t="str">
        <f>'C+P_DE Marinas_Scenario_Cal'!D10</f>
        <v>Copper and pyrithione</v>
      </c>
      <c r="E15" s="68">
        <f>'C+P_DE Marinas_Scenario_Cal'!E10</f>
        <v>582.94485477647845</v>
      </c>
      <c r="F15" s="68">
        <f>'C+P_DE Marinas_Scenario_Cal'!F10</f>
        <v>12009.466115779971</v>
      </c>
      <c r="G15" s="68">
        <f>'C+P_DE Marinas_Scenario_Cal'!G10</f>
        <v>0.25937349480188765</v>
      </c>
      <c r="H15" s="68">
        <f>'C+P_DE Marinas_Scenario_Cal'!H10</f>
        <v>3.2639597951250603</v>
      </c>
      <c r="I15" s="74"/>
      <c r="J15" s="74"/>
      <c r="K15" s="74"/>
      <c r="L15" s="74"/>
    </row>
    <row r="16" spans="2:13" ht="16.5" customHeight="1" x14ac:dyDescent="0.2">
      <c r="B16" s="80" t="str">
        <f>'C+P_DE Marinas_Scenario_Cal'!B11</f>
        <v>Inland water marina 5</v>
      </c>
      <c r="C16" s="80" t="str">
        <f>'C+P_DE Marinas_Scenario_Cal'!C11</f>
        <v>DE</v>
      </c>
      <c r="D16" s="80" t="str">
        <f>'C+P_DE Marinas_Scenario_Cal'!D11</f>
        <v>Copper and pyrithione</v>
      </c>
      <c r="E16" s="68">
        <f>'C+P_DE Marinas_Scenario_Cal'!E11</f>
        <v>120.48605531353023</v>
      </c>
      <c r="F16" s="68">
        <f>'C+P_DE Marinas_Scenario_Cal'!F11</f>
        <v>2376.3923082038145</v>
      </c>
      <c r="G16" s="68">
        <f>'C+P_DE Marinas_Scenario_Cal'!G11</f>
        <v>0.13876852336827086</v>
      </c>
      <c r="H16" s="68">
        <f>'C+P_DE Marinas_Scenario_Cal'!H11</f>
        <v>0.75378477764911778</v>
      </c>
      <c r="I16" s="74"/>
      <c r="J16" s="74"/>
      <c r="K16" s="74"/>
      <c r="L16" s="74"/>
    </row>
    <row r="17" spans="2:12" ht="16.5" customHeight="1" x14ac:dyDescent="0.2">
      <c r="B17" s="80" t="str">
        <f>'C+P_DE Marinas_Scenario_Cal'!B12</f>
        <v>Inland water marina 6</v>
      </c>
      <c r="C17" s="80" t="str">
        <f>'C+P_DE Marinas_Scenario_Cal'!C12</f>
        <v>DE</v>
      </c>
      <c r="D17" s="80" t="str">
        <f>'C+P_DE Marinas_Scenario_Cal'!D12</f>
        <v>Copper and pyrithione</v>
      </c>
      <c r="E17" s="68">
        <f>'C+P_DE Marinas_Scenario_Cal'!E12</f>
        <v>165.85493590497538</v>
      </c>
      <c r="F17" s="68">
        <f>'C+P_DE Marinas_Scenario_Cal'!F12</f>
        <v>719.32764871538973</v>
      </c>
      <c r="G17" s="68">
        <f>'C+P_DE Marinas_Scenario_Cal'!G12</f>
        <v>0.21345604463023221</v>
      </c>
      <c r="H17" s="68">
        <f>'C+P_DE Marinas_Scenario_Cal'!H12</f>
        <v>0.67799171618643883</v>
      </c>
      <c r="I17" s="74"/>
      <c r="J17" s="74"/>
      <c r="K17" s="74"/>
      <c r="L17" s="74"/>
    </row>
    <row r="18" spans="2:12" ht="16.5" customHeight="1" x14ac:dyDescent="0.2">
      <c r="B18" s="80" t="str">
        <f>'C+P_DE Marinas_Scenario_Cal'!B13</f>
        <v>Inland water marina 7</v>
      </c>
      <c r="C18" s="80" t="str">
        <f>'C+P_DE Marinas_Scenario_Cal'!C13</f>
        <v>DE</v>
      </c>
      <c r="D18" s="80" t="str">
        <f>'C+P_DE Marinas_Scenario_Cal'!D13</f>
        <v>Copper and pyrithione</v>
      </c>
      <c r="E18" s="68">
        <f>'C+P_DE Marinas_Scenario_Cal'!E13</f>
        <v>311.0524313609219</v>
      </c>
      <c r="F18" s="68">
        <f>'C+P_DE Marinas_Scenario_Cal'!F13</f>
        <v>125.18742571692873</v>
      </c>
      <c r="G18" s="68">
        <f>'C+P_DE Marinas_Scenario_Cal'!G13</f>
        <v>0.30675313638439788</v>
      </c>
      <c r="H18" s="68">
        <f>'C+P_DE Marinas_Scenario_Cal'!H13</f>
        <v>0.31931954142785746</v>
      </c>
      <c r="I18" s="74"/>
      <c r="J18" s="74"/>
      <c r="K18" s="74"/>
      <c r="L18" s="74"/>
    </row>
    <row r="19" spans="2:12" ht="16.5" customHeight="1" x14ac:dyDescent="0.2">
      <c r="B19" s="80" t="str">
        <f>'C+P_DE Marinas_Scenario_Cal'!B14</f>
        <v>Inland water marina 8</v>
      </c>
      <c r="C19" s="80" t="str">
        <f>'C+P_DE Marinas_Scenario_Cal'!C14</f>
        <v>DE</v>
      </c>
      <c r="D19" s="80" t="str">
        <f>'C+P_DE Marinas_Scenario_Cal'!D14</f>
        <v>Copper and pyrithione</v>
      </c>
      <c r="E19" s="68">
        <f>'C+P_DE Marinas_Scenario_Cal'!E14</f>
        <v>610.27001803940982</v>
      </c>
      <c r="F19" s="68">
        <f>'C+P_DE Marinas_Scenario_Cal'!F14</f>
        <v>176439.17523096499</v>
      </c>
      <c r="G19" s="68">
        <f>'C+P_DE Marinas_Scenario_Cal'!G14</f>
        <v>0.32892181241188101</v>
      </c>
      <c r="H19" s="68">
        <f>'C+P_DE Marinas_Scenario_Cal'!H14</f>
        <v>62.733637380518758</v>
      </c>
      <c r="I19" s="74"/>
      <c r="J19" s="74"/>
      <c r="K19" s="74"/>
      <c r="L19" s="74"/>
    </row>
    <row r="20" spans="2:12" ht="16.5" customHeight="1" x14ac:dyDescent="0.2">
      <c r="B20" s="80" t="str">
        <f>'C+P_DE Marinas_Scenario_Cal'!B15</f>
        <v>Inland water marina 9</v>
      </c>
      <c r="C20" s="80" t="str">
        <f>'C+P_DE Marinas_Scenario_Cal'!C15</f>
        <v>DE</v>
      </c>
      <c r="D20" s="80" t="str">
        <f>'C+P_DE Marinas_Scenario_Cal'!D15</f>
        <v>Copper and pyrithione</v>
      </c>
      <c r="E20" s="68">
        <f>'C+P_DE Marinas_Scenario_Cal'!E15</f>
        <v>182.41571361040479</v>
      </c>
      <c r="F20" s="68">
        <f>'C+P_DE Marinas_Scenario_Cal'!F15</f>
        <v>596.03513795971094</v>
      </c>
      <c r="G20" s="68">
        <f>'C+P_DE Marinas_Scenario_Cal'!G15</f>
        <v>0.44960106862252669</v>
      </c>
      <c r="H20" s="68">
        <f>'C+P_DE Marinas_Scenario_Cal'!H15</f>
        <v>1.3420333226824881</v>
      </c>
      <c r="I20" s="74"/>
      <c r="J20" s="74"/>
      <c r="K20" s="74"/>
      <c r="L20" s="74"/>
    </row>
    <row r="21" spans="2:12" ht="16.5" customHeight="1" x14ac:dyDescent="0.2">
      <c r="B21" s="80" t="str">
        <f>'C+P_DE Marinas_Scenario_Cal'!B16</f>
        <v>Inland water marina 10</v>
      </c>
      <c r="C21" s="80" t="str">
        <f>'C+P_DE Marinas_Scenario_Cal'!C16</f>
        <v>DE</v>
      </c>
      <c r="D21" s="80" t="str">
        <f>'C+P_DE Marinas_Scenario_Cal'!D16</f>
        <v>Copper and pyrithione</v>
      </c>
      <c r="E21" s="68">
        <f>'C+P_DE Marinas_Scenario_Cal'!E16</f>
        <v>5.6181991522422203</v>
      </c>
      <c r="F21" s="68">
        <f>'C+P_DE Marinas_Scenario_Cal'!F16</f>
        <v>2.9802038579650088</v>
      </c>
      <c r="G21" s="68">
        <f>'C+P_DE Marinas_Scenario_Cal'!G16</f>
        <v>0.11815509283168919</v>
      </c>
      <c r="H21" s="68">
        <f>'C+P_DE Marinas_Scenario_Cal'!H16</f>
        <v>0.24403313107161267</v>
      </c>
      <c r="I21" s="74"/>
      <c r="J21" s="74"/>
      <c r="K21" s="74"/>
      <c r="L21" s="74"/>
    </row>
    <row r="22" spans="2:12" ht="16.5" customHeight="1" x14ac:dyDescent="0.2">
      <c r="B22" s="80" t="str">
        <f>'C+P_DE Marinas_Scenario_Cal'!B17</f>
        <v>Inland water marina 11</v>
      </c>
      <c r="C22" s="80" t="str">
        <f>'C+P_DE Marinas_Scenario_Cal'!C17</f>
        <v>DE</v>
      </c>
      <c r="D22" s="80" t="str">
        <f>'C+P_DE Marinas_Scenario_Cal'!D17</f>
        <v>Copper and pyrithione</v>
      </c>
      <c r="E22" s="68">
        <f>'C+P_DE Marinas_Scenario_Cal'!E17</f>
        <v>1991.2491668067767</v>
      </c>
      <c r="F22" s="68">
        <f>'C+P_DE Marinas_Scenario_Cal'!F17</f>
        <v>8716.6474466760592</v>
      </c>
      <c r="G22" s="68">
        <f>'C+P_DE Marinas_Scenario_Cal'!G17</f>
        <v>0.67368440153161346</v>
      </c>
      <c r="H22" s="68">
        <f>'C+P_DE Marinas_Scenario_Cal'!H17</f>
        <v>2.696524767955728</v>
      </c>
      <c r="I22" s="74"/>
      <c r="J22" s="74"/>
      <c r="K22" s="74"/>
      <c r="L22" s="74"/>
    </row>
    <row r="23" spans="2:12" ht="16.5" customHeight="1" x14ac:dyDescent="0.2">
      <c r="B23" s="80" t="str">
        <f>'C+P_DE Marinas_Scenario_Cal'!B18</f>
        <v>Inland water marina 12</v>
      </c>
      <c r="C23" s="80" t="str">
        <f>'C+P_DE Marinas_Scenario_Cal'!C18</f>
        <v>DE</v>
      </c>
      <c r="D23" s="80" t="str">
        <f>'C+P_DE Marinas_Scenario_Cal'!D18</f>
        <v>Copper and pyrithione</v>
      </c>
      <c r="E23" s="68">
        <f>'C+P_DE Marinas_Scenario_Cal'!E18</f>
        <v>904.62131975600346</v>
      </c>
      <c r="F23" s="68">
        <f>'C+P_DE Marinas_Scenario_Cal'!F18</f>
        <v>1704.4398174560724</v>
      </c>
      <c r="G23" s="68">
        <f>'C+P_DE Marinas_Scenario_Cal'!G18</f>
        <v>0.60023077079099119</v>
      </c>
      <c r="H23" s="68">
        <f>'C+P_DE Marinas_Scenario_Cal'!H18</f>
        <v>1.159717252706298</v>
      </c>
      <c r="I23" s="74"/>
      <c r="J23" s="74"/>
      <c r="K23" s="74"/>
      <c r="L23" s="74"/>
    </row>
    <row r="24" spans="2:12" ht="16.5" customHeight="1" x14ac:dyDescent="0.2">
      <c r="B24" s="80" t="str">
        <f>'C+P_DE Marinas_Scenario_Cal'!B19</f>
        <v>Inland water marina 13</v>
      </c>
      <c r="C24" s="80" t="str">
        <f>'C+P_DE Marinas_Scenario_Cal'!C19</f>
        <v>DE</v>
      </c>
      <c r="D24" s="80" t="str">
        <f>'C+P_DE Marinas_Scenario_Cal'!D19</f>
        <v>Copper and pyrithione</v>
      </c>
      <c r="E24" s="68">
        <f>'C+P_DE Marinas_Scenario_Cal'!E19</f>
        <v>156.749102994743</v>
      </c>
      <c r="F24" s="68">
        <f>'C+P_DE Marinas_Scenario_Cal'!F19</f>
        <v>1012.7190106049878</v>
      </c>
      <c r="G24" s="68">
        <f>'C+P_DE Marinas_Scenario_Cal'!G19</f>
        <v>0.18331682825714615</v>
      </c>
      <c r="H24" s="68">
        <f>'C+P_DE Marinas_Scenario_Cal'!H19</f>
        <v>0.69705506537999307</v>
      </c>
      <c r="I24" s="74"/>
      <c r="J24" s="74"/>
      <c r="K24" s="74"/>
      <c r="L24" s="74"/>
    </row>
    <row r="25" spans="2:12" ht="16.5" customHeight="1" x14ac:dyDescent="0.2">
      <c r="B25" s="80" t="str">
        <f>'C+P_DE Marinas_Scenario_Cal'!B20</f>
        <v>Inland water marina 14</v>
      </c>
      <c r="C25" s="80" t="str">
        <f>'C+P_DE Marinas_Scenario_Cal'!C20</f>
        <v>DE</v>
      </c>
      <c r="D25" s="80" t="str">
        <f>'C+P_DE Marinas_Scenario_Cal'!D20</f>
        <v>Copper and pyrithione</v>
      </c>
      <c r="E25" s="68">
        <f>'C+P_DE Marinas_Scenario_Cal'!E20</f>
        <v>158.72846668418168</v>
      </c>
      <c r="F25" s="68">
        <f>'C+P_DE Marinas_Scenario_Cal'!F20</f>
        <v>37.517487669038111</v>
      </c>
      <c r="G25" s="68">
        <f>'C+P_DE Marinas_Scenario_Cal'!G20</f>
        <v>0.141058950314983</v>
      </c>
      <c r="H25" s="68">
        <f>'C+P_DE Marinas_Scenario_Cal'!H20</f>
        <v>0.24801560238056264</v>
      </c>
      <c r="I25" s="74"/>
      <c r="J25" s="74"/>
      <c r="K25" s="74"/>
      <c r="L25" s="74"/>
    </row>
    <row r="26" spans="2:12" ht="16.5" customHeight="1" x14ac:dyDescent="0.2">
      <c r="B26" s="80" t="str">
        <f>'C+P_DE Marinas_Scenario_Cal'!B21</f>
        <v>Inland water marina 15</v>
      </c>
      <c r="C26" s="80" t="str">
        <f>'C+P_DE Marinas_Scenario_Cal'!C21</f>
        <v>DE</v>
      </c>
      <c r="D26" s="80" t="str">
        <f>'C+P_DE Marinas_Scenario_Cal'!D21</f>
        <v>Copper and pyrithione</v>
      </c>
      <c r="E26" s="68">
        <f>'C+P_DE Marinas_Scenario_Cal'!E21</f>
        <v>1643.112362244505</v>
      </c>
      <c r="F26" s="68">
        <f>'C+P_DE Marinas_Scenario_Cal'!F21</f>
        <v>955.03411513878802</v>
      </c>
      <c r="G26" s="68">
        <f>'C+P_DE Marinas_Scenario_Cal'!G21</f>
        <v>0.20823883467974508</v>
      </c>
      <c r="H26" s="68">
        <f>'C+P_DE Marinas_Scenario_Cal'!H21</f>
        <v>0.29685218827321191</v>
      </c>
      <c r="I26" s="74"/>
      <c r="J26" s="74"/>
      <c r="K26" s="74"/>
      <c r="L26" s="74"/>
    </row>
    <row r="27" spans="2:12" ht="16.5" customHeight="1" x14ac:dyDescent="0.2">
      <c r="B27" s="80" t="str">
        <f>'C+P_DE Marinas_Scenario_Cal'!B22</f>
        <v>Inland water marina 16</v>
      </c>
      <c r="C27" s="80" t="str">
        <f>'C+P_DE Marinas_Scenario_Cal'!C22</f>
        <v>DE</v>
      </c>
      <c r="D27" s="80" t="str">
        <f>'C+P_DE Marinas_Scenario_Cal'!D22</f>
        <v>Copper and pyrithione</v>
      </c>
      <c r="E27" s="68">
        <f>'C+P_DE Marinas_Scenario_Cal'!E22</f>
        <v>2602.9266245778767</v>
      </c>
      <c r="F27" s="68">
        <f>'C+P_DE Marinas_Scenario_Cal'!F22</f>
        <v>5708.3266203043941</v>
      </c>
      <c r="G27" s="68">
        <f>'C+P_DE Marinas_Scenario_Cal'!G22</f>
        <v>0.28164419968796545</v>
      </c>
      <c r="H27" s="68">
        <f>'C+P_DE Marinas_Scenario_Cal'!H22</f>
        <v>0.61162793398952153</v>
      </c>
      <c r="I27" s="74"/>
      <c r="J27" s="74"/>
      <c r="K27" s="74"/>
      <c r="L27" s="74"/>
    </row>
    <row r="28" spans="2:12" ht="16.5" customHeight="1" x14ac:dyDescent="0.2">
      <c r="B28" s="80" t="str">
        <f>'C+P_DE Marinas_Scenario_Cal'!B23</f>
        <v>Inland water marina 17</v>
      </c>
      <c r="C28" s="80" t="str">
        <f>'C+P_DE Marinas_Scenario_Cal'!C23</f>
        <v>DE</v>
      </c>
      <c r="D28" s="80" t="str">
        <f>'C+P_DE Marinas_Scenario_Cal'!D23</f>
        <v>Copper and pyrithione</v>
      </c>
      <c r="E28" s="68">
        <f>'C+P_DE Marinas_Scenario_Cal'!E23</f>
        <v>157.73265519502425</v>
      </c>
      <c r="F28" s="68">
        <f>'C+P_DE Marinas_Scenario_Cal'!F23</f>
        <v>652.52626217127045</v>
      </c>
      <c r="G28" s="68">
        <f>'C+P_DE Marinas_Scenario_Cal'!G23</f>
        <v>0.33697695795914889</v>
      </c>
      <c r="H28" s="68">
        <f>'C+P_DE Marinas_Scenario_Cal'!H23</f>
        <v>1.1690148032120535</v>
      </c>
      <c r="I28" s="74"/>
      <c r="J28" s="74"/>
      <c r="K28" s="74"/>
      <c r="L28" s="74"/>
    </row>
    <row r="29" spans="2:12" ht="14.25" x14ac:dyDescent="0.2">
      <c r="B29" s="150" t="s">
        <v>161</v>
      </c>
      <c r="C29" s="150"/>
      <c r="D29" s="150"/>
      <c r="E29" s="68">
        <f>'C+P_DE Marinas_Scenario_Cal'!E24</f>
        <v>311.0524313609219</v>
      </c>
      <c r="F29" s="68">
        <f>'C+P_DE Marinas_Scenario_Cal'!F24</f>
        <v>1306.1371058870734</v>
      </c>
      <c r="G29" s="68">
        <f>'C+P_DE Marinas_Scenario_Cal'!G24</f>
        <v>0.28164419968796545</v>
      </c>
      <c r="H29" s="68">
        <f>'C+P_DE Marinas_Scenario_Cal'!H24</f>
        <v>0.69705506537999307</v>
      </c>
      <c r="I29" s="74"/>
      <c r="J29" s="74"/>
      <c r="K29" s="74"/>
      <c r="L29" s="74"/>
    </row>
    <row r="30" spans="2:12" ht="14.25" x14ac:dyDescent="0.2">
      <c r="B30" s="150" t="s">
        <v>160</v>
      </c>
      <c r="C30" s="150"/>
      <c r="D30" s="150"/>
      <c r="E30" s="68">
        <f>'C+P_DE Marinas_Scenario_Cal'!E25</f>
        <v>801.91918526229711</v>
      </c>
      <c r="F30" s="68">
        <f>'C+P_DE Marinas_Scenario_Cal'!F25</f>
        <v>13529.950683535004</v>
      </c>
      <c r="G30" s="68">
        <f>'C+P_DE Marinas_Scenario_Cal'!G25</f>
        <v>0.3058095594195589</v>
      </c>
      <c r="H30" s="68">
        <f>'C+P_DE Marinas_Scenario_Cal'!H25</f>
        <v>4.7385880501403568</v>
      </c>
      <c r="I30" s="74"/>
      <c r="J30" s="74"/>
      <c r="K30" s="74"/>
      <c r="L30" s="74"/>
    </row>
    <row r="31" spans="2:12" ht="14.25" x14ac:dyDescent="0.2">
      <c r="B31" s="150" t="s">
        <v>12</v>
      </c>
      <c r="C31" s="150"/>
      <c r="D31" s="150"/>
      <c r="E31" s="68">
        <f>'C+P_DE Marinas_Scenario_Cal'!E26</f>
        <v>2602.9266245778767</v>
      </c>
      <c r="F31" s="68">
        <f>'C+P_DE Marinas_Scenario_Cal'!F26</f>
        <v>176439.17523096499</v>
      </c>
      <c r="G31" s="68">
        <f>'C+P_DE Marinas_Scenario_Cal'!G26</f>
        <v>0.67368440153161346</v>
      </c>
      <c r="H31" s="68">
        <f>'C+P_DE Marinas_Scenario_Cal'!H26</f>
        <v>62.733637380518758</v>
      </c>
      <c r="I31" s="74"/>
      <c r="J31" s="74"/>
      <c r="K31" s="74"/>
      <c r="L31" s="74"/>
    </row>
    <row r="32" spans="2:12" ht="14.25" x14ac:dyDescent="0.2">
      <c r="B32" s="150" t="s">
        <v>13</v>
      </c>
      <c r="C32" s="150"/>
      <c r="D32" s="150"/>
      <c r="E32" s="68">
        <f>'C+P_DE Marinas_Scenario_Cal'!E27</f>
        <v>5.6181991522422203</v>
      </c>
      <c r="F32" s="68">
        <f>'C+P_DE Marinas_Scenario_Cal'!F27</f>
        <v>2.9802038579650088</v>
      </c>
      <c r="G32" s="68">
        <f>'C+P_DE Marinas_Scenario_Cal'!G27</f>
        <v>0.11815509283168919</v>
      </c>
      <c r="H32" s="68">
        <f>'C+P_DE Marinas_Scenario_Cal'!H27</f>
        <v>0.24403313107161267</v>
      </c>
      <c r="I32" s="74"/>
      <c r="J32" s="74"/>
      <c r="K32" s="74"/>
      <c r="L32" s="74"/>
    </row>
    <row r="33" spans="2:14" x14ac:dyDescent="0.2">
      <c r="C33" s="1"/>
      <c r="I33" s="74"/>
      <c r="J33" s="74"/>
      <c r="K33" s="74"/>
      <c r="L33" s="74"/>
    </row>
    <row r="34" spans="2:14" x14ac:dyDescent="0.2">
      <c r="B34" s="74"/>
      <c r="C34" s="98"/>
      <c r="D34" s="74"/>
      <c r="E34" s="74"/>
      <c r="F34" s="74"/>
      <c r="G34" s="74"/>
      <c r="H34" s="74"/>
      <c r="I34" s="74"/>
      <c r="J34" s="74"/>
      <c r="K34" s="74"/>
      <c r="L34" s="74"/>
    </row>
    <row r="35" spans="2:14" x14ac:dyDescent="0.2">
      <c r="B35" s="60"/>
      <c r="C35" s="100"/>
      <c r="D35" s="61"/>
      <c r="E35" s="62"/>
      <c r="F35" s="62"/>
      <c r="G35" s="62"/>
      <c r="H35" s="62"/>
      <c r="I35" s="74"/>
      <c r="J35" s="74"/>
      <c r="K35" s="74"/>
      <c r="L35" s="74"/>
      <c r="M35" s="10"/>
      <c r="N35" s="10"/>
    </row>
    <row r="36" spans="2:14" x14ac:dyDescent="0.2">
      <c r="B36" s="60"/>
      <c r="C36" s="100"/>
      <c r="D36" s="61"/>
      <c r="E36" s="62"/>
      <c r="F36" s="62"/>
      <c r="G36" s="62"/>
      <c r="H36" s="62"/>
      <c r="I36" s="74"/>
      <c r="J36" s="74"/>
      <c r="K36" s="74"/>
      <c r="L36" s="74"/>
      <c r="M36" s="10"/>
      <c r="N36" s="10"/>
    </row>
    <row r="37" spans="2:14" x14ac:dyDescent="0.2">
      <c r="B37" s="60"/>
      <c r="C37" s="100"/>
      <c r="D37" s="61"/>
      <c r="E37" s="62"/>
      <c r="F37" s="62"/>
      <c r="G37" s="62"/>
      <c r="H37" s="62"/>
      <c r="I37" s="74"/>
      <c r="J37" s="74"/>
      <c r="K37" s="74"/>
      <c r="L37" s="74"/>
      <c r="M37" s="10"/>
      <c r="N37" s="10"/>
    </row>
    <row r="38" spans="2:14" x14ac:dyDescent="0.2">
      <c r="B38" s="60"/>
      <c r="C38" s="100"/>
      <c r="D38" s="61"/>
      <c r="E38" s="62"/>
      <c r="F38" s="62"/>
      <c r="G38" s="62"/>
      <c r="H38" s="62"/>
      <c r="I38" s="74"/>
      <c r="J38" s="74"/>
      <c r="K38" s="74"/>
      <c r="L38" s="74"/>
      <c r="M38" s="10"/>
      <c r="N38" s="10"/>
    </row>
    <row r="39" spans="2:14" x14ac:dyDescent="0.2">
      <c r="B39" s="60"/>
      <c r="C39" s="100"/>
      <c r="D39" s="61"/>
      <c r="E39" s="62"/>
      <c r="F39" s="62"/>
      <c r="G39" s="62"/>
      <c r="H39" s="62"/>
      <c r="I39" s="74"/>
      <c r="J39" s="74"/>
      <c r="K39" s="74"/>
      <c r="L39" s="74"/>
      <c r="M39" s="10"/>
      <c r="N39" s="10"/>
    </row>
    <row r="40" spans="2:14" x14ac:dyDescent="0.2">
      <c r="B40" s="60"/>
      <c r="C40" s="100"/>
      <c r="D40" s="61"/>
      <c r="E40" s="62"/>
      <c r="F40" s="62"/>
      <c r="G40" s="62"/>
      <c r="H40" s="62"/>
      <c r="I40" s="74"/>
      <c r="J40" s="74"/>
      <c r="K40" s="74"/>
      <c r="L40" s="74"/>
      <c r="M40" s="10"/>
      <c r="N40" s="10"/>
    </row>
    <row r="41" spans="2:14" x14ac:dyDescent="0.2">
      <c r="B41" s="60"/>
      <c r="C41" s="100"/>
      <c r="D41" s="61"/>
      <c r="E41" s="62"/>
      <c r="F41" s="62"/>
      <c r="G41" s="62"/>
      <c r="H41" s="62"/>
      <c r="I41" s="74"/>
      <c r="J41" s="74"/>
      <c r="K41" s="74"/>
      <c r="L41" s="74"/>
      <c r="M41" s="10"/>
      <c r="N41" s="10"/>
    </row>
    <row r="42" spans="2:14" x14ac:dyDescent="0.2">
      <c r="B42" s="60"/>
      <c r="C42" s="100"/>
      <c r="D42" s="61"/>
      <c r="E42" s="62"/>
      <c r="F42" s="62"/>
      <c r="G42" s="62"/>
      <c r="H42" s="62"/>
      <c r="I42" s="74"/>
      <c r="J42" s="74"/>
      <c r="K42" s="74"/>
      <c r="L42" s="74"/>
      <c r="M42" s="10"/>
      <c r="N42" s="10"/>
    </row>
    <row r="43" spans="2:14" x14ac:dyDescent="0.2">
      <c r="B43" s="60"/>
      <c r="C43" s="100"/>
      <c r="D43" s="61"/>
      <c r="E43" s="62"/>
      <c r="F43" s="62"/>
      <c r="G43" s="62"/>
      <c r="H43" s="62"/>
      <c r="I43" s="74"/>
      <c r="J43" s="74"/>
      <c r="K43" s="74"/>
      <c r="L43" s="74"/>
      <c r="M43" s="10"/>
      <c r="N43" s="10"/>
    </row>
    <row r="44" spans="2:14" x14ac:dyDescent="0.2">
      <c r="B44" s="60"/>
      <c r="C44" s="100"/>
      <c r="D44" s="61"/>
      <c r="E44" s="62"/>
      <c r="F44" s="62"/>
      <c r="G44" s="62"/>
      <c r="H44" s="62"/>
      <c r="I44" s="74"/>
      <c r="J44" s="74"/>
      <c r="K44" s="74"/>
      <c r="L44" s="74"/>
      <c r="M44" s="10"/>
      <c r="N44" s="10"/>
    </row>
    <row r="45" spans="2:14" x14ac:dyDescent="0.2">
      <c r="B45" s="60"/>
      <c r="C45" s="100"/>
      <c r="D45" s="61"/>
      <c r="E45" s="62"/>
      <c r="F45" s="62"/>
      <c r="G45" s="62"/>
      <c r="H45" s="62"/>
      <c r="I45" s="60"/>
      <c r="J45" s="60"/>
      <c r="K45" s="60"/>
      <c r="L45" s="60"/>
      <c r="M45" s="10"/>
      <c r="N45" s="10"/>
    </row>
    <row r="46" spans="2:14" x14ac:dyDescent="0.2">
      <c r="B46" s="60"/>
      <c r="C46" s="100"/>
      <c r="D46" s="61"/>
      <c r="E46" s="62"/>
      <c r="F46" s="62"/>
      <c r="G46" s="62"/>
      <c r="H46" s="62"/>
      <c r="I46" s="60"/>
      <c r="J46" s="60"/>
      <c r="K46" s="60"/>
      <c r="L46" s="60"/>
      <c r="M46" s="10"/>
      <c r="N46" s="10"/>
    </row>
    <row r="47" spans="2:14" x14ac:dyDescent="0.2">
      <c r="B47" s="60"/>
      <c r="C47" s="100"/>
      <c r="D47" s="61"/>
      <c r="E47" s="62"/>
      <c r="F47" s="62"/>
      <c r="G47" s="62"/>
      <c r="H47" s="62"/>
      <c r="I47" s="60"/>
      <c r="J47" s="60"/>
      <c r="K47" s="60"/>
      <c r="L47" s="60"/>
      <c r="M47" s="10"/>
      <c r="N47" s="10"/>
    </row>
    <row r="48" spans="2:14" x14ac:dyDescent="0.2">
      <c r="B48" s="60"/>
      <c r="C48" s="100"/>
      <c r="D48" s="61"/>
      <c r="E48" s="62"/>
      <c r="F48" s="62"/>
      <c r="G48" s="62"/>
      <c r="H48" s="62"/>
      <c r="I48" s="60"/>
      <c r="J48" s="60"/>
      <c r="K48" s="60"/>
      <c r="L48" s="60"/>
      <c r="M48" s="10"/>
      <c r="N48" s="10"/>
    </row>
    <row r="49" spans="2:14" x14ac:dyDescent="0.2">
      <c r="B49" s="60"/>
      <c r="C49" s="100"/>
      <c r="D49" s="61"/>
      <c r="E49" s="62"/>
      <c r="F49" s="62"/>
      <c r="G49" s="62"/>
      <c r="H49" s="62"/>
      <c r="I49" s="60"/>
      <c r="J49" s="60"/>
      <c r="K49" s="60"/>
      <c r="L49" s="60"/>
      <c r="M49" s="10"/>
      <c r="N49" s="10"/>
    </row>
    <row r="50" spans="2:14" x14ac:dyDescent="0.2">
      <c r="B50" s="10"/>
      <c r="C50" s="101"/>
      <c r="D50" s="10"/>
      <c r="E50" s="10"/>
      <c r="F50" s="10"/>
      <c r="G50" s="10"/>
      <c r="H50" s="10"/>
      <c r="I50" s="10"/>
      <c r="J50" s="10"/>
      <c r="K50" s="10"/>
      <c r="L50" s="10"/>
      <c r="M50" s="10"/>
      <c r="N50" s="10"/>
    </row>
    <row r="51" spans="2:14" x14ac:dyDescent="0.2">
      <c r="B51" s="10"/>
      <c r="C51" s="101"/>
      <c r="D51" s="10"/>
      <c r="E51" s="10"/>
      <c r="F51" s="10"/>
      <c r="G51" s="10"/>
      <c r="H51" s="10"/>
      <c r="I51" s="10"/>
      <c r="J51" s="10"/>
      <c r="K51" s="10"/>
      <c r="L51" s="10"/>
      <c r="M51" s="10"/>
      <c r="N51" s="10"/>
    </row>
  </sheetData>
  <mergeCells count="11">
    <mergeCell ref="B10:H10"/>
    <mergeCell ref="B30:D30"/>
    <mergeCell ref="B31:D31"/>
    <mergeCell ref="B32:D32"/>
    <mergeCell ref="B2:M2"/>
    <mergeCell ref="B4:F4"/>
    <mergeCell ref="B5:E5"/>
    <mergeCell ref="B6:E6"/>
    <mergeCell ref="B7:E7"/>
    <mergeCell ref="B8:E8"/>
    <mergeCell ref="B29:D29"/>
  </mergeCells>
  <conditionalFormatting sqref="E12:H28 E30:H32">
    <cfRule type="cellIs" dxfId="17" priority="4" operator="lessThan">
      <formula>1</formula>
    </cfRule>
    <cfRule type="cellIs" dxfId="16" priority="5" operator="greaterThan">
      <formula>1</formula>
    </cfRule>
    <cfRule type="cellIs" dxfId="15" priority="6" operator="equal">
      <formula>1</formula>
    </cfRule>
  </conditionalFormatting>
  <conditionalFormatting sqref="E29:H29">
    <cfRule type="cellIs" dxfId="14" priority="1" operator="lessThan">
      <formula>1</formula>
    </cfRule>
    <cfRule type="cellIs" dxfId="13" priority="2" operator="greaterThan">
      <formula>1</formula>
    </cfRule>
    <cfRule type="cellIs" dxfId="12" priority="3" operator="equal">
      <formula>1</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sheetPr>
  <dimension ref="B2:N50"/>
  <sheetViews>
    <sheetView topLeftCell="A12" zoomScale="90" zoomScaleNormal="90" workbookViewId="0">
      <selection activeCell="D46" sqref="D46"/>
    </sheetView>
  </sheetViews>
  <sheetFormatPr baseColWidth="10" defaultColWidth="9" defaultRowHeight="12.75" x14ac:dyDescent="0.2"/>
  <cols>
    <col min="1" max="1" width="9" style="1"/>
    <col min="2" max="2" width="22.625" style="1" customWidth="1"/>
    <col min="3" max="3" width="4" style="1" bestFit="1" customWidth="1"/>
    <col min="4" max="4" width="25.625" style="1" customWidth="1"/>
    <col min="5" max="12" width="11.625" style="1" customWidth="1"/>
    <col min="13" max="16384" width="9" style="1"/>
  </cols>
  <sheetData>
    <row r="2" spans="2:13" ht="21" thickBot="1" x14ac:dyDescent="0.35">
      <c r="B2" s="151" t="s">
        <v>90</v>
      </c>
      <c r="C2" s="151"/>
      <c r="D2" s="151"/>
      <c r="E2" s="151"/>
      <c r="F2" s="151"/>
      <c r="G2" s="151"/>
      <c r="H2" s="151"/>
      <c r="I2" s="151"/>
      <c r="J2" s="151"/>
      <c r="K2" s="151"/>
      <c r="L2" s="151"/>
      <c r="M2" s="151"/>
    </row>
    <row r="3" spans="2:13" ht="13.5" thickTop="1" x14ac:dyDescent="0.2">
      <c r="B3" s="113" t="str">
        <f>Tooltype</f>
        <v>Calculator tool for the German scenario for inland water marinas</v>
      </c>
      <c r="C3" s="113"/>
      <c r="D3" s="113"/>
      <c r="E3" s="74"/>
      <c r="F3" s="74"/>
      <c r="G3" s="74"/>
      <c r="H3" s="74"/>
      <c r="I3" s="74"/>
      <c r="J3" s="74"/>
      <c r="K3" s="74"/>
      <c r="L3" s="74"/>
    </row>
    <row r="4" spans="2:13" ht="15" x14ac:dyDescent="0.2">
      <c r="B4" s="152" t="s">
        <v>80</v>
      </c>
      <c r="C4" s="152"/>
      <c r="D4" s="152"/>
      <c r="E4" s="152"/>
      <c r="F4" s="152"/>
      <c r="G4" s="74"/>
      <c r="H4" s="74"/>
      <c r="I4" s="74"/>
      <c r="J4" s="74"/>
      <c r="K4" s="74"/>
      <c r="L4" s="74"/>
    </row>
    <row r="5" spans="2:13" x14ac:dyDescent="0.2">
      <c r="B5" s="153" t="s">
        <v>118</v>
      </c>
      <c r="C5" s="153"/>
      <c r="D5" s="153"/>
      <c r="E5" s="153"/>
      <c r="F5" s="81">
        <f>C_PNEC_Aquatic_Inside</f>
        <v>7.8</v>
      </c>
      <c r="H5" s="74"/>
      <c r="I5" s="74"/>
      <c r="J5" s="74"/>
      <c r="K5" s="74"/>
      <c r="L5" s="74"/>
    </row>
    <row r="6" spans="2:13" x14ac:dyDescent="0.2">
      <c r="B6" s="153" t="s">
        <v>119</v>
      </c>
      <c r="C6" s="153"/>
      <c r="D6" s="153"/>
      <c r="E6" s="153"/>
      <c r="F6" s="81">
        <f>C_PNEC_Sediment_Inside</f>
        <v>87</v>
      </c>
      <c r="H6" s="74"/>
      <c r="I6" s="74"/>
      <c r="J6" s="74"/>
      <c r="K6" s="74"/>
      <c r="L6" s="74"/>
    </row>
    <row r="7" spans="2:13" x14ac:dyDescent="0.2">
      <c r="B7" s="153" t="s">
        <v>120</v>
      </c>
      <c r="C7" s="153"/>
      <c r="D7" s="153"/>
      <c r="E7" s="153"/>
      <c r="F7" s="81">
        <f>C_PNEC_Aquatic_Surrounding</f>
        <v>7.8</v>
      </c>
      <c r="H7" s="74"/>
      <c r="I7" s="74"/>
      <c r="J7" s="74"/>
      <c r="K7" s="74"/>
      <c r="L7" s="74"/>
    </row>
    <row r="8" spans="2:13" x14ac:dyDescent="0.2">
      <c r="B8" s="153" t="s">
        <v>121</v>
      </c>
      <c r="C8" s="153"/>
      <c r="D8" s="153"/>
      <c r="E8" s="153"/>
      <c r="F8" s="81">
        <f>C_PNEC_Sediment_Surrounding</f>
        <v>87</v>
      </c>
      <c r="H8" s="74"/>
      <c r="I8" s="74"/>
      <c r="J8" s="74"/>
      <c r="K8" s="74"/>
      <c r="L8" s="74"/>
    </row>
    <row r="10" spans="2:13" ht="15" x14ac:dyDescent="0.2">
      <c r="B10" s="142" t="s">
        <v>183</v>
      </c>
      <c r="C10" s="142"/>
      <c r="D10" s="142"/>
      <c r="E10" s="142"/>
      <c r="F10" s="142"/>
      <c r="G10" s="142"/>
      <c r="H10" s="142"/>
      <c r="I10" s="142"/>
      <c r="J10" s="142"/>
      <c r="K10" s="142"/>
      <c r="L10" s="142"/>
    </row>
    <row r="11" spans="2:13" ht="99.95" customHeight="1" x14ac:dyDescent="0.2">
      <c r="B11" s="79" t="s">
        <v>8</v>
      </c>
      <c r="C11" s="75" t="s">
        <v>109</v>
      </c>
      <c r="D11" s="79" t="s">
        <v>10</v>
      </c>
      <c r="E11" s="8" t="s">
        <v>70</v>
      </c>
      <c r="F11" s="8" t="s">
        <v>122</v>
      </c>
      <c r="G11" s="8" t="s">
        <v>71</v>
      </c>
      <c r="H11" s="8" t="s">
        <v>123</v>
      </c>
      <c r="I11" s="8" t="s">
        <v>124</v>
      </c>
      <c r="J11" s="8" t="s">
        <v>125</v>
      </c>
      <c r="K11" s="8" t="s">
        <v>126</v>
      </c>
      <c r="L11" s="8" t="s">
        <v>127</v>
      </c>
    </row>
    <row r="12" spans="2:13" ht="14.25" customHeight="1" x14ac:dyDescent="0.2">
      <c r="B12" s="78" t="s">
        <v>196</v>
      </c>
      <c r="C12" s="89" t="s">
        <v>11</v>
      </c>
      <c r="D12" s="80" t="str">
        <f t="shared" ref="D12:D28" si="0">C_Compound_Name</f>
        <v>Copper</v>
      </c>
      <c r="E12" s="68">
        <f>'C_DE Marinas_Scenario_Calc'!J21</f>
        <v>13.442808269103116</v>
      </c>
      <c r="F12" s="68">
        <f>'C_DE Marinas_Scenario_Calc'!K21</f>
        <v>400.97469655487299</v>
      </c>
      <c r="G12" s="68">
        <f>'C_DE Marinas_Scenario_Calc'!L21</f>
        <v>0.88185160566887666</v>
      </c>
      <c r="H12" s="68">
        <f>'C_DE Marinas_Scenario_Calc'!M21</f>
        <v>21.056003665599285</v>
      </c>
      <c r="I12" s="68">
        <f>'C_DE Marinas_Scenario_Calc'!R21</f>
        <v>1.7234369575773225</v>
      </c>
      <c r="J12" s="68">
        <f>'C_DE Marinas_Scenario_Calc'!S21</f>
        <v>4.6089045581019885</v>
      </c>
      <c r="K12" s="68">
        <f>'C_DE Marinas_Scenario_Calc'!T21</f>
        <v>0.1130578981626765</v>
      </c>
      <c r="L12" s="68">
        <f>'C_DE Marinas_Scenario_Calc'!U21</f>
        <v>0.24202303063907224</v>
      </c>
    </row>
    <row r="13" spans="2:13" ht="14.25" customHeight="1" x14ac:dyDescent="0.2">
      <c r="B13" s="78" t="s">
        <v>197</v>
      </c>
      <c r="C13" s="89" t="s">
        <v>11</v>
      </c>
      <c r="D13" s="80" t="str">
        <f t="shared" si="0"/>
        <v>Copper</v>
      </c>
      <c r="E13" s="68">
        <f>'C_DE Marinas_Scenario_Calc'!J22</f>
        <v>4.6084012799977465</v>
      </c>
      <c r="F13" s="68">
        <f>'C_DE Marinas_Scenario_Calc'!K22</f>
        <v>133.7692267631009</v>
      </c>
      <c r="G13" s="68">
        <f>'C_DE Marinas_Scenario_Calc'!L22</f>
        <v>0.88102630369863155</v>
      </c>
      <c r="H13" s="68">
        <f>'C_DE Marinas_Scenario_Calc'!M22</f>
        <v>21.031041581895792</v>
      </c>
      <c r="I13" s="68">
        <f>'C_DE Marinas_Scenario_Calc'!R22</f>
        <v>0.59082067692278806</v>
      </c>
      <c r="J13" s="68">
        <f>'C_DE Marinas_Scenario_Calc'!S22</f>
        <v>1.5375773191161024</v>
      </c>
      <c r="K13" s="68">
        <f>'C_DE Marinas_Scenario_Calc'!T22</f>
        <v>0.11295209021777328</v>
      </c>
      <c r="L13" s="68">
        <f>'C_DE Marinas_Scenario_Calc'!U22</f>
        <v>0.24173611013673324</v>
      </c>
    </row>
    <row r="14" spans="2:13" ht="14.25" customHeight="1" x14ac:dyDescent="0.2">
      <c r="B14" s="78" t="s">
        <v>198</v>
      </c>
      <c r="C14" s="89" t="s">
        <v>11</v>
      </c>
      <c r="D14" s="80" t="str">
        <f t="shared" si="0"/>
        <v>Copper</v>
      </c>
      <c r="E14" s="68">
        <f>'C_DE Marinas_Scenario_Calc'!J23</f>
        <v>10.431926688663353</v>
      </c>
      <c r="F14" s="68">
        <f>'C_DE Marinas_Scenario_Calc'!K23</f>
        <v>309.90757779626523</v>
      </c>
      <c r="G14" s="68">
        <f>'C_DE Marinas_Scenario_Calc'!L23</f>
        <v>0.88247210176882351</v>
      </c>
      <c r="H14" s="68">
        <f>'C_DE Marinas_Scenario_Calc'!M23</f>
        <v>21.074771190796906</v>
      </c>
      <c r="I14" s="68">
        <f>'C_DE Marinas_Scenario_Calc'!R23</f>
        <v>1.3374264985465838</v>
      </c>
      <c r="J14" s="68">
        <f>'C_DE Marinas_Scenario_Calc'!S23</f>
        <v>3.5621560666237384</v>
      </c>
      <c r="K14" s="68">
        <f>'C_DE Marinas_Scenario_Calc'!T23</f>
        <v>0.11313744894472097</v>
      </c>
      <c r="L14" s="68">
        <f>'C_DE Marinas_Scenario_Calc'!U23</f>
        <v>0.24223874931950465</v>
      </c>
    </row>
    <row r="15" spans="2:13" ht="14.25" customHeight="1" x14ac:dyDescent="0.2">
      <c r="B15" s="78" t="s">
        <v>199</v>
      </c>
      <c r="C15" s="89" t="s">
        <v>11</v>
      </c>
      <c r="D15" s="80" t="str">
        <f t="shared" si="0"/>
        <v>Copper</v>
      </c>
      <c r="E15" s="68">
        <f>'C_DE Marinas_Scenario_Calc'!J24</f>
        <v>26.379861387427681</v>
      </c>
      <c r="F15" s="68">
        <f>'C_DE Marinas_Scenario_Calc'!K24</f>
        <v>792.26881978454969</v>
      </c>
      <c r="G15" s="68">
        <f>'C_DE Marinas_Scenario_Calc'!L24</f>
        <v>0.8851706156508018</v>
      </c>
      <c r="H15" s="68">
        <f>'C_DE Marinas_Scenario_Calc'!M24</f>
        <v>21.156390442230705</v>
      </c>
      <c r="I15" s="68">
        <f>'C_DE Marinas_Scenario_Calc'!R24</f>
        <v>3.382033511208677</v>
      </c>
      <c r="J15" s="68">
        <f>'C_DE Marinas_Scenario_Calc'!S24</f>
        <v>9.1065381584430991</v>
      </c>
      <c r="K15" s="68">
        <f>'C_DE Marinas_Scenario_Calc'!T24</f>
        <v>0.11348341226292331</v>
      </c>
      <c r="L15" s="68">
        <f>'C_DE Marinas_Scenario_Calc'!U24</f>
        <v>0.24317690163483568</v>
      </c>
    </row>
    <row r="16" spans="2:13" ht="14.25" customHeight="1" x14ac:dyDescent="0.2">
      <c r="B16" s="78" t="s">
        <v>200</v>
      </c>
      <c r="C16" s="89" t="s">
        <v>11</v>
      </c>
      <c r="D16" s="80" t="str">
        <f t="shared" si="0"/>
        <v>Copper</v>
      </c>
      <c r="E16" s="68">
        <f>'C_DE Marinas_Scenario_Calc'!J25</f>
        <v>4.4923468746754533</v>
      </c>
      <c r="F16" s="68">
        <f>'C_DE Marinas_Scenario_Calc'!K25</f>
        <v>130.25904460378877</v>
      </c>
      <c r="G16" s="68">
        <f>'C_DE Marinas_Scenario_Calc'!L25</f>
        <v>0.8806895513734303</v>
      </c>
      <c r="H16" s="68">
        <f>'C_DE Marinas_Scenario_Calc'!M25</f>
        <v>21.020856171040894</v>
      </c>
      <c r="I16" s="68">
        <f>'C_DE Marinas_Scenario_Calc'!R25</f>
        <v>0.57594190700967351</v>
      </c>
      <c r="J16" s="68">
        <f>'C_DE Marinas_Scenario_Calc'!S25</f>
        <v>1.4972303977446983</v>
      </c>
      <c r="K16" s="68">
        <f>'C_DE Marinas_Scenario_Calc'!T25</f>
        <v>0.11290891684274748</v>
      </c>
      <c r="L16" s="68">
        <f>'C_DE Marinas_Scenario_Calc'!U25</f>
        <v>0.24161903644874591</v>
      </c>
    </row>
    <row r="17" spans="2:12" ht="14.25" customHeight="1" x14ac:dyDescent="0.2">
      <c r="B17" s="78" t="s">
        <v>201</v>
      </c>
      <c r="C17" s="89" t="s">
        <v>11</v>
      </c>
      <c r="D17" s="80" t="str">
        <f t="shared" si="0"/>
        <v>Copper</v>
      </c>
      <c r="E17" s="68">
        <f>'C_DE Marinas_Scenario_Calc'!J26</f>
        <v>3.2363421760284208</v>
      </c>
      <c r="F17" s="68">
        <f>'C_DE Marinas_Scenario_Calc'!K26</f>
        <v>92.269926066632337</v>
      </c>
      <c r="G17" s="68">
        <f>'C_DE Marinas_Scenario_Calc'!L26</f>
        <v>0.88144706211918511</v>
      </c>
      <c r="H17" s="68">
        <f>'C_DE Marinas_Scenario_Calc'!M26</f>
        <v>21.043767841385872</v>
      </c>
      <c r="I17" s="68">
        <f>'C_DE Marinas_Scenario_Calc'!R26</f>
        <v>0.41491566359338727</v>
      </c>
      <c r="J17" s="68">
        <f>'C_DE Marinas_Scenario_Calc'!S26</f>
        <v>1.0605738628348544</v>
      </c>
      <c r="K17" s="68">
        <f>'C_DE Marinas_Scenario_Calc'!T26</f>
        <v>0.11300603360502373</v>
      </c>
      <c r="L17" s="68">
        <f>'C_DE Marinas_Scenario_Calc'!U26</f>
        <v>0.24188238898144682</v>
      </c>
    </row>
    <row r="18" spans="2:12" ht="14.25" customHeight="1" x14ac:dyDescent="0.2">
      <c r="B18" s="78" t="s">
        <v>202</v>
      </c>
      <c r="C18" s="89" t="s">
        <v>11</v>
      </c>
      <c r="D18" s="80" t="str">
        <f t="shared" si="0"/>
        <v>Copper</v>
      </c>
      <c r="E18" s="68">
        <f>'C_DE Marinas_Scenario_Calc'!J27</f>
        <v>4.6998481165116317</v>
      </c>
      <c r="F18" s="68">
        <f>'C_DE Marinas_Scenario_Calc'!K27</f>
        <v>136.53512797079179</v>
      </c>
      <c r="G18" s="68">
        <f>'C_DE Marinas_Scenario_Calc'!L27</f>
        <v>0.88242136571794705</v>
      </c>
      <c r="H18" s="68">
        <f>'C_DE Marinas_Scenario_Calc'!M27</f>
        <v>21.073236628644388</v>
      </c>
      <c r="I18" s="68">
        <f>'C_DE Marinas_Scenario_Calc'!R27</f>
        <v>0.60254463032200412</v>
      </c>
      <c r="J18" s="68">
        <f>'C_DE Marinas_Scenario_Calc'!S27</f>
        <v>1.5693692870205953</v>
      </c>
      <c r="K18" s="68">
        <f>'C_DE Marinas_Scenario_Calc'!T27</f>
        <v>0.11313094432281373</v>
      </c>
      <c r="L18" s="68">
        <f>'C_DE Marinas_Scenario_Calc'!U27</f>
        <v>0.24222111067407343</v>
      </c>
    </row>
    <row r="19" spans="2:12" ht="14.25" customHeight="1" x14ac:dyDescent="0.2">
      <c r="B19" s="78" t="s">
        <v>203</v>
      </c>
      <c r="C19" s="89" t="s">
        <v>11</v>
      </c>
      <c r="D19" s="80" t="str">
        <f t="shared" si="0"/>
        <v>Copper</v>
      </c>
      <c r="E19" s="68">
        <f>'C_DE Marinas_Scenario_Calc'!J28</f>
        <v>12.691732676499029</v>
      </c>
      <c r="F19" s="68">
        <f>'C_DE Marinas_Scenario_Calc'!K28</f>
        <v>378.25766943580533</v>
      </c>
      <c r="G19" s="68">
        <f>'C_DE Marinas_Scenario_Calc'!L28</f>
        <v>0.88412027798025661</v>
      </c>
      <c r="H19" s="68">
        <f>'C_DE Marinas_Scenario_Calc'!M28</f>
        <v>21.12462192896508</v>
      </c>
      <c r="I19" s="68">
        <f>'C_DE Marinas_Scenario_Calc'!R28</f>
        <v>1.627145214935773</v>
      </c>
      <c r="J19" s="68">
        <f>'C_DE Marinas_Scenario_Calc'!S28</f>
        <v>4.3477893038598312</v>
      </c>
      <c r="K19" s="68">
        <f>'C_DE Marinas_Scenario_Calc'!T28</f>
        <v>0.11334875358721239</v>
      </c>
      <c r="L19" s="68">
        <f>'C_DE Marinas_Scenario_Calc'!U28</f>
        <v>0.24281174630994345</v>
      </c>
    </row>
    <row r="20" spans="2:12" ht="14.25" customHeight="1" x14ac:dyDescent="0.2">
      <c r="B20" s="78" t="s">
        <v>204</v>
      </c>
      <c r="C20" s="89" t="s">
        <v>11</v>
      </c>
      <c r="D20" s="80" t="str">
        <f t="shared" si="0"/>
        <v>Copper</v>
      </c>
      <c r="E20" s="68">
        <f>'C_DE Marinas_Scenario_Calc'!J29</f>
        <v>3.9320340572506285</v>
      </c>
      <c r="F20" s="68">
        <f>'C_DE Marinas_Scenario_Calc'!K29</f>
        <v>113.31182341603575</v>
      </c>
      <c r="G20" s="68">
        <f>'C_DE Marinas_Scenario_Calc'!L29</f>
        <v>0.88558779917877462</v>
      </c>
      <c r="H20" s="68">
        <f>'C_DE Marinas_Scenario_Calc'!M29</f>
        <v>21.16900857577421</v>
      </c>
      <c r="I20" s="68">
        <f>'C_DE Marinas_Scenario_Calc'!R29</f>
        <v>0.50410693041674726</v>
      </c>
      <c r="J20" s="68">
        <f>'C_DE Marinas_Scenario_Calc'!S29</f>
        <v>1.3024347519084569</v>
      </c>
      <c r="K20" s="68">
        <f>'C_DE Marinas_Scenario_Calc'!T29</f>
        <v>0.11353689733061213</v>
      </c>
      <c r="L20" s="68">
        <f>'C_DE Marinas_Scenario_Calc'!U29</f>
        <v>0.24332193765257712</v>
      </c>
    </row>
    <row r="21" spans="2:12" ht="14.25" customHeight="1" x14ac:dyDescent="0.2">
      <c r="B21" s="78" t="s">
        <v>205</v>
      </c>
      <c r="C21" s="89" t="s">
        <v>11</v>
      </c>
      <c r="D21" s="80" t="str">
        <f t="shared" si="0"/>
        <v>Copper</v>
      </c>
      <c r="E21" s="68">
        <f>'C_DE Marinas_Scenario_Calc'!J30</f>
        <v>0.96679237299662457</v>
      </c>
      <c r="F21" s="68">
        <f>'C_DE Marinas_Scenario_Calc'!K30</f>
        <v>23.625122135304085</v>
      </c>
      <c r="G21" s="68">
        <f>'C_DE Marinas_Scenario_Calc'!L30</f>
        <v>0.88008397784568082</v>
      </c>
      <c r="H21" s="68">
        <f>'C_DE Marinas_Scenario_Calc'!M30</f>
        <v>21.002539993916873</v>
      </c>
      <c r="I21" s="68">
        <f>'C_DE Marinas_Scenario_Calc'!R30</f>
        <v>0.12394774012777239</v>
      </c>
      <c r="J21" s="68">
        <f>'C_DE Marinas_Scenario_Calc'!S30</f>
        <v>0.27155312799200099</v>
      </c>
      <c r="K21" s="68">
        <f>'C_DE Marinas_Scenario_Calc'!T30</f>
        <v>0.11283127921098472</v>
      </c>
      <c r="L21" s="68">
        <f>'C_DE Marinas_Scenario_Calc'!U30</f>
        <v>0.24140850567720543</v>
      </c>
    </row>
    <row r="22" spans="2:12" ht="14.25" customHeight="1" x14ac:dyDescent="0.2">
      <c r="B22" s="78" t="s">
        <v>206</v>
      </c>
      <c r="C22" s="89" t="s">
        <v>11</v>
      </c>
      <c r="D22" s="80" t="str">
        <f t="shared" si="0"/>
        <v>Copper</v>
      </c>
      <c r="E22" s="68">
        <f>'C_DE Marinas_Scenario_Calc'!J31</f>
        <v>24.032242873647309</v>
      </c>
      <c r="F22" s="68">
        <f>'C_DE Marinas_Scenario_Calc'!K31</f>
        <v>721.26274615507168</v>
      </c>
      <c r="G22" s="68">
        <f>'C_DE Marinas_Scenario_Calc'!L31</f>
        <v>0.88696308278376146</v>
      </c>
      <c r="H22" s="68">
        <f>'C_DE Marinas_Scenario_Calc'!M31</f>
        <v>21.210605403770444</v>
      </c>
      <c r="I22" s="68">
        <f>'C_DE Marinas_Scenario_Calc'!R31</f>
        <v>3.0810567786727319</v>
      </c>
      <c r="J22" s="68">
        <f>'C_DE Marinas_Scenario_Calc'!S31</f>
        <v>8.2903763925870315</v>
      </c>
      <c r="K22" s="68">
        <f>'C_DE Marinas_Scenario_Calc'!T31</f>
        <v>0.11371321574150788</v>
      </c>
      <c r="L22" s="68">
        <f>'C_DE Marinas_Scenario_Calc'!U31</f>
        <v>0.24380006211230396</v>
      </c>
    </row>
    <row r="23" spans="2:12" ht="14.25" customHeight="1" x14ac:dyDescent="0.2">
      <c r="B23" s="78" t="s">
        <v>207</v>
      </c>
      <c r="C23" s="89" t="s">
        <v>11</v>
      </c>
      <c r="D23" s="80" t="str">
        <f t="shared" si="0"/>
        <v>Copper</v>
      </c>
      <c r="E23" s="68">
        <f>'C_DE Marinas_Scenario_Calc'!J32</f>
        <v>15.872788502273051</v>
      </c>
      <c r="F23" s="68">
        <f>'C_DE Marinas_Scenario_Calc'!K32</f>
        <v>474.47188859312041</v>
      </c>
      <c r="G23" s="68">
        <f>'C_DE Marinas_Scenario_Calc'!L32</f>
        <v>0.8880861559400699</v>
      </c>
      <c r="H23" s="68">
        <f>'C_DE Marinas_Scenario_Calc'!M32</f>
        <v>21.244573874924242</v>
      </c>
      <c r="I23" s="68">
        <f>'C_DE Marinas_Scenario_Calc'!R32</f>
        <v>2.0349728849068014</v>
      </c>
      <c r="J23" s="68">
        <f>'C_DE Marinas_Scenario_Calc'!S32</f>
        <v>5.4536998688864413</v>
      </c>
      <c r="K23" s="68">
        <f>'C_DE Marinas_Scenario_Calc'!T32</f>
        <v>0.11385719947949614</v>
      </c>
      <c r="L23" s="68">
        <f>'C_DE Marinas_Scenario_Calc'!U32</f>
        <v>0.24419050430947406</v>
      </c>
    </row>
    <row r="24" spans="2:12" ht="14.25" customHeight="1" x14ac:dyDescent="0.2">
      <c r="B24" s="78" t="s">
        <v>208</v>
      </c>
      <c r="C24" s="89" t="s">
        <v>11</v>
      </c>
      <c r="D24" s="80" t="str">
        <f t="shared" si="0"/>
        <v>Copper</v>
      </c>
      <c r="E24" s="68">
        <f>'C_DE Marinas_Scenario_Calc'!J33</f>
        <v>3.0614427009661731</v>
      </c>
      <c r="F24" s="68">
        <f>'C_DE Marinas_Scenario_Calc'!K33</f>
        <v>86.979916882070668</v>
      </c>
      <c r="G24" s="68">
        <f>'C_DE Marinas_Scenario_Calc'!L33</f>
        <v>0.88098955670509627</v>
      </c>
      <c r="H24" s="68">
        <f>'C_DE Marinas_Scenario_Calc'!M33</f>
        <v>21.029930132419473</v>
      </c>
      <c r="I24" s="68">
        <f>'C_DE Marinas_Scenario_Calc'!R33</f>
        <v>0.3924926539700222</v>
      </c>
      <c r="J24" s="68">
        <f>'C_DE Marinas_Scenario_Calc'!S33</f>
        <v>0.99976915956403067</v>
      </c>
      <c r="K24" s="68">
        <f>'C_DE Marinas_Scenario_Calc'!T33</f>
        <v>0.11294737906475594</v>
      </c>
      <c r="L24" s="68">
        <f>'C_DE Marinas_Scenario_Calc'!U33</f>
        <v>0.24172333485539624</v>
      </c>
    </row>
    <row r="25" spans="2:12" ht="14.25" customHeight="1" x14ac:dyDescent="0.2">
      <c r="B25" s="78" t="s">
        <v>209</v>
      </c>
      <c r="C25" s="89" t="s">
        <v>11</v>
      </c>
      <c r="D25" s="80" t="str">
        <f t="shared" si="0"/>
        <v>Copper</v>
      </c>
      <c r="E25" s="68">
        <f>'C_DE Marinas_Scenario_Calc'!J34</f>
        <v>3.3446193372679032</v>
      </c>
      <c r="F25" s="68">
        <f>'C_DE Marinas_Scenario_Calc'!K34</f>
        <v>95.544877065882233</v>
      </c>
      <c r="G25" s="68">
        <f>'C_DE Marinas_Scenario_Calc'!L34</f>
        <v>0.88043879135304215</v>
      </c>
      <c r="H25" s="68">
        <f>'C_DE Marinas_Scenario_Calc'!M34</f>
        <v>21.013271683419514</v>
      </c>
      <c r="I25" s="68">
        <f>'C_DE Marinas_Scenario_Calc'!R34</f>
        <v>0.42879735093178245</v>
      </c>
      <c r="J25" s="68">
        <f>'C_DE Marinas_Scenario_Calc'!S34</f>
        <v>1.0982169777687614</v>
      </c>
      <c r="K25" s="68">
        <f>'C_DE Marinas_Scenario_Calc'!T34</f>
        <v>0.11287676812218489</v>
      </c>
      <c r="L25" s="68">
        <f>'C_DE Marinas_Scenario_Calc'!U34</f>
        <v>0.24153185843010935</v>
      </c>
    </row>
    <row r="26" spans="2:12" ht="14.25" customHeight="1" x14ac:dyDescent="0.2">
      <c r="B26" s="78" t="s">
        <v>210</v>
      </c>
      <c r="C26" s="89" t="s">
        <v>11</v>
      </c>
      <c r="D26" s="80" t="str">
        <f t="shared" si="0"/>
        <v>Copper</v>
      </c>
      <c r="E26" s="68">
        <f>'C_DE Marinas_Scenario_Calc'!J35</f>
        <v>9.0738096410148597</v>
      </c>
      <c r="F26" s="68">
        <f>'C_DE Marinas_Scenario_Calc'!K35</f>
        <v>268.82996914334888</v>
      </c>
      <c r="G26" s="68">
        <f>'C_DE Marinas_Scenario_Calc'!L35</f>
        <v>0.88055868045195307</v>
      </c>
      <c r="H26" s="68">
        <f>'C_DE Marinas_Scenario_Calc'!M35</f>
        <v>21.016897849044533</v>
      </c>
      <c r="I26" s="68">
        <f>'C_DE Marinas_Scenario_Calc'!R35</f>
        <v>1.1633089283352385</v>
      </c>
      <c r="J26" s="68">
        <f>'C_DE Marinas_Scenario_Calc'!S35</f>
        <v>3.0899996453258494</v>
      </c>
      <c r="K26" s="68">
        <f>'C_DE Marinas_Scenario_Calc'!T35</f>
        <v>0.11289213851948117</v>
      </c>
      <c r="L26" s="68">
        <f>'C_DE Marinas_Scenario_Calc'!U35</f>
        <v>0.24157353849476473</v>
      </c>
    </row>
    <row r="27" spans="2:12" ht="14.25" customHeight="1" x14ac:dyDescent="0.2">
      <c r="B27" s="78" t="s">
        <v>211</v>
      </c>
      <c r="C27" s="89" t="s">
        <v>11</v>
      </c>
      <c r="D27" s="80" t="str">
        <f t="shared" si="0"/>
        <v>Copper</v>
      </c>
      <c r="E27" s="68">
        <f>'C_DE Marinas_Scenario_Calc'!J36</f>
        <v>26.548605666223445</v>
      </c>
      <c r="F27" s="68">
        <f>'C_DE Marinas_Scenario_Calc'!K36</f>
        <v>797.37265643879653</v>
      </c>
      <c r="G27" s="68">
        <f>'C_DE Marinas_Scenario_Calc'!L36</f>
        <v>0.88182776882118596</v>
      </c>
      <c r="H27" s="68">
        <f>'C_DE Marinas_Scenario_Calc'!M36</f>
        <v>21.055282695767588</v>
      </c>
      <c r="I27" s="68">
        <f>'C_DE Marinas_Scenario_Calc'!R36</f>
        <v>3.4036673931055699</v>
      </c>
      <c r="J27" s="68">
        <f>'C_DE Marinas_Scenario_Calc'!S36</f>
        <v>9.1652029475723733</v>
      </c>
      <c r="K27" s="68">
        <f>'C_DE Marinas_Scenario_Calc'!T36</f>
        <v>0.11305484215656231</v>
      </c>
      <c r="L27" s="68">
        <f>'C_DE Marinas_Scenario_Calc'!U36</f>
        <v>0.2420147436295125</v>
      </c>
    </row>
    <row r="28" spans="2:12" ht="14.25" customHeight="1" x14ac:dyDescent="0.2">
      <c r="B28" s="78" t="s">
        <v>212</v>
      </c>
      <c r="C28" s="89" t="s">
        <v>11</v>
      </c>
      <c r="D28" s="80" t="str">
        <f t="shared" si="0"/>
        <v>Copper</v>
      </c>
      <c r="E28" s="68">
        <f>'C_DE Marinas_Scenario_Calc'!J37</f>
        <v>3.3172799166641358</v>
      </c>
      <c r="F28" s="68">
        <f>'C_DE Marinas_Scenario_Calc'!K37</f>
        <v>94.71796903179208</v>
      </c>
      <c r="G28" s="68">
        <f>'C_DE Marinas_Scenario_Calc'!L37</f>
        <v>0.88346985989020588</v>
      </c>
      <c r="H28" s="68">
        <f>'C_DE Marinas_Scenario_Calc'!M37</f>
        <v>21.104949383307115</v>
      </c>
      <c r="I28" s="68">
        <f>'C_DE Marinas_Scenario_Calc'!R37</f>
        <v>0.42529229700822258</v>
      </c>
      <c r="J28" s="68">
        <f>'C_DE Marinas_Scenario_Calc'!S37</f>
        <v>1.0887122877217481</v>
      </c>
      <c r="K28" s="68">
        <f>'C_DE Marinas_Scenario_Calc'!T37</f>
        <v>0.1132653666525905</v>
      </c>
      <c r="L28" s="68">
        <f>'C_DE Marinas_Scenario_Calc'!U37</f>
        <v>0.24258562509548409</v>
      </c>
    </row>
    <row r="29" spans="2:12" x14ac:dyDescent="0.2">
      <c r="B29" s="150" t="s">
        <v>161</v>
      </c>
      <c r="C29" s="150"/>
      <c r="D29" s="150"/>
      <c r="E29" s="69">
        <f>'C_DE Marinas_Scenario_Calc'!J38</f>
        <v>4.6998481165116317</v>
      </c>
      <c r="F29" s="69">
        <f>'C_DE Marinas_Scenario_Calc'!K38</f>
        <v>136.53512797079179</v>
      </c>
      <c r="G29" s="69">
        <f>'C_DE Marinas_Scenario_Calc'!L38</f>
        <v>0.88185160566887666</v>
      </c>
      <c r="H29" s="69">
        <f>'C_DE Marinas_Scenario_Calc'!M38</f>
        <v>21.056003665599285</v>
      </c>
      <c r="I29" s="69">
        <f>'C_DE Marinas_Scenario_Calc'!R38</f>
        <v>0.60254463032200412</v>
      </c>
      <c r="J29" s="69">
        <f>'C_DE Marinas_Scenario_Calc'!S38</f>
        <v>1.5693692870205953</v>
      </c>
      <c r="K29" s="69">
        <f>'C_DE Marinas_Scenario_Calc'!T38</f>
        <v>0.1130578981626765</v>
      </c>
      <c r="L29" s="69">
        <f>'C_DE Marinas_Scenario_Calc'!U38</f>
        <v>0.24202303063907224</v>
      </c>
    </row>
    <row r="30" spans="2:12" x14ac:dyDescent="0.2">
      <c r="B30" s="150" t="s">
        <v>160</v>
      </c>
      <c r="C30" s="150"/>
      <c r="D30" s="150"/>
      <c r="E30" s="69">
        <f>'C_DE Marinas_Scenario_Calc'!J39</f>
        <v>10.007816619835916</v>
      </c>
      <c r="F30" s="69">
        <f>'C_DE Marinas_Scenario_Calc'!K39</f>
        <v>297.0799445786605</v>
      </c>
      <c r="G30" s="69">
        <f>'C_DE Marinas_Scenario_Calc'!L39</f>
        <v>0.88277673864398365</v>
      </c>
      <c r="H30" s="69">
        <f>'C_DE Marinas_Scenario_Calc'!M39</f>
        <v>21.083985237817814</v>
      </c>
      <c r="I30" s="69">
        <f>'C_DE Marinas_Scenario_Calc'!R39</f>
        <v>1.2830534127994764</v>
      </c>
      <c r="J30" s="69">
        <f>'C_DE Marinas_Scenario_Calc'!S39</f>
        <v>3.4147120066512704</v>
      </c>
      <c r="K30" s="69">
        <f>'C_DE Marinas_Scenario_Calc'!T39</f>
        <v>0.11317650495435688</v>
      </c>
      <c r="L30" s="69">
        <f>'C_DE Marinas_Scenario_Calc'!U39</f>
        <v>0.24234465790595189</v>
      </c>
    </row>
    <row r="31" spans="2:12" x14ac:dyDescent="0.2">
      <c r="B31" s="150" t="s">
        <v>12</v>
      </c>
      <c r="C31" s="150"/>
      <c r="D31" s="150"/>
      <c r="E31" s="69">
        <f>'C_DE Marinas_Scenario_Calc'!J40</f>
        <v>26.548605666223445</v>
      </c>
      <c r="F31" s="69">
        <f>'C_DE Marinas_Scenario_Calc'!K40</f>
        <v>797.37265643879653</v>
      </c>
      <c r="G31" s="69">
        <f>'C_DE Marinas_Scenario_Calc'!L40</f>
        <v>0.8880861559400699</v>
      </c>
      <c r="H31" s="69">
        <f>'C_DE Marinas_Scenario_Calc'!M40</f>
        <v>21.244573874924242</v>
      </c>
      <c r="I31" s="69">
        <f>'C_DE Marinas_Scenario_Calc'!R40</f>
        <v>3.4036673931055699</v>
      </c>
      <c r="J31" s="69">
        <f>'C_DE Marinas_Scenario_Calc'!S40</f>
        <v>9.1652029475723733</v>
      </c>
      <c r="K31" s="69">
        <f>'C_DE Marinas_Scenario_Calc'!T40</f>
        <v>0.11385719947949614</v>
      </c>
      <c r="L31" s="69">
        <f>'C_DE Marinas_Scenario_Calc'!U40</f>
        <v>0.24419050430947406</v>
      </c>
    </row>
    <row r="32" spans="2:12" x14ac:dyDescent="0.2">
      <c r="B32" s="150" t="s">
        <v>13</v>
      </c>
      <c r="C32" s="150"/>
      <c r="D32" s="150"/>
      <c r="E32" s="69">
        <f>'C_DE Marinas_Scenario_Calc'!J41</f>
        <v>0.96679237299662457</v>
      </c>
      <c r="F32" s="69">
        <f>'C_DE Marinas_Scenario_Calc'!K41</f>
        <v>23.625122135304085</v>
      </c>
      <c r="G32" s="69">
        <f>'C_DE Marinas_Scenario_Calc'!L41</f>
        <v>0.88008397784568082</v>
      </c>
      <c r="H32" s="69">
        <f>'C_DE Marinas_Scenario_Calc'!M41</f>
        <v>21.002539993916873</v>
      </c>
      <c r="I32" s="69">
        <f>'C_DE Marinas_Scenario_Calc'!R41</f>
        <v>0.12394774012777239</v>
      </c>
      <c r="J32" s="69">
        <f>'C_DE Marinas_Scenario_Calc'!S41</f>
        <v>0.27155312799200099</v>
      </c>
      <c r="K32" s="69">
        <f>'C_DE Marinas_Scenario_Calc'!T41</f>
        <v>0.11283127921098472</v>
      </c>
      <c r="L32" s="69">
        <f>'C_DE Marinas_Scenario_Calc'!U41</f>
        <v>0.24140850567720543</v>
      </c>
    </row>
    <row r="33" spans="2:14" x14ac:dyDescent="0.2">
      <c r="B33" s="74"/>
      <c r="C33" s="74"/>
      <c r="D33" s="74"/>
      <c r="E33" s="74"/>
      <c r="F33" s="74"/>
      <c r="G33" s="74"/>
      <c r="H33" s="74"/>
      <c r="I33" s="74"/>
      <c r="J33" s="74"/>
      <c r="K33" s="74"/>
      <c r="L33" s="74"/>
    </row>
    <row r="34" spans="2:14" x14ac:dyDescent="0.2">
      <c r="B34" s="60"/>
      <c r="C34" s="60"/>
      <c r="D34" s="61"/>
      <c r="E34" s="62"/>
      <c r="F34" s="62"/>
      <c r="G34" s="62"/>
      <c r="H34" s="62"/>
      <c r="I34" s="60"/>
      <c r="J34" s="60"/>
      <c r="K34" s="60"/>
      <c r="L34" s="60"/>
      <c r="M34" s="10"/>
      <c r="N34" s="10"/>
    </row>
    <row r="35" spans="2:14" x14ac:dyDescent="0.2">
      <c r="B35" s="60"/>
      <c r="C35" s="60"/>
      <c r="D35" s="61"/>
      <c r="E35" s="62"/>
      <c r="F35" s="62"/>
      <c r="G35" s="62"/>
      <c r="H35" s="62"/>
      <c r="I35" s="60"/>
      <c r="J35" s="60"/>
      <c r="K35" s="60"/>
      <c r="L35" s="60"/>
      <c r="M35" s="10"/>
      <c r="N35" s="10"/>
    </row>
    <row r="36" spans="2:14" x14ac:dyDescent="0.2">
      <c r="B36" s="60"/>
      <c r="C36" s="60"/>
      <c r="D36" s="61"/>
      <c r="E36" s="62"/>
      <c r="F36" s="62"/>
      <c r="G36" s="62"/>
      <c r="H36" s="62"/>
      <c r="I36" s="60"/>
      <c r="J36" s="60"/>
      <c r="K36" s="60"/>
      <c r="L36" s="60"/>
      <c r="M36" s="10"/>
      <c r="N36" s="10"/>
    </row>
    <row r="37" spans="2:14" x14ac:dyDescent="0.2">
      <c r="B37" s="60"/>
      <c r="C37" s="60"/>
      <c r="D37" s="61"/>
      <c r="E37" s="62"/>
      <c r="F37" s="62"/>
      <c r="G37" s="62"/>
      <c r="H37" s="62"/>
      <c r="I37" s="60"/>
      <c r="J37" s="60"/>
      <c r="K37" s="60"/>
      <c r="L37" s="60"/>
      <c r="M37" s="10"/>
      <c r="N37" s="10"/>
    </row>
    <row r="38" spans="2:14" x14ac:dyDescent="0.2">
      <c r="B38" s="60"/>
      <c r="C38" s="60"/>
      <c r="D38" s="61"/>
      <c r="E38" s="62"/>
      <c r="F38" s="62"/>
      <c r="G38" s="62"/>
      <c r="H38" s="62"/>
      <c r="I38" s="60"/>
      <c r="J38" s="60"/>
      <c r="K38" s="60"/>
      <c r="L38" s="60"/>
      <c r="M38" s="10"/>
      <c r="N38" s="10"/>
    </row>
    <row r="39" spans="2:14" x14ac:dyDescent="0.2">
      <c r="B39" s="60"/>
      <c r="C39" s="60"/>
      <c r="D39" s="61"/>
      <c r="E39" s="62"/>
      <c r="F39" s="62"/>
      <c r="G39" s="62"/>
      <c r="H39" s="62"/>
      <c r="I39" s="60"/>
      <c r="J39" s="60"/>
      <c r="K39" s="60"/>
      <c r="L39" s="60"/>
      <c r="M39" s="10"/>
      <c r="N39" s="10"/>
    </row>
    <row r="40" spans="2:14" x14ac:dyDescent="0.2">
      <c r="B40" s="60"/>
      <c r="C40" s="60"/>
      <c r="D40" s="61"/>
      <c r="E40" s="62"/>
      <c r="F40" s="62"/>
      <c r="G40" s="62"/>
      <c r="H40" s="62"/>
      <c r="I40" s="60"/>
      <c r="J40" s="60"/>
      <c r="K40" s="60"/>
      <c r="L40" s="60"/>
      <c r="M40" s="10"/>
      <c r="N40" s="10"/>
    </row>
    <row r="41" spans="2:14" x14ac:dyDescent="0.2">
      <c r="B41" s="60"/>
      <c r="C41" s="60"/>
      <c r="D41" s="61"/>
      <c r="E41" s="62"/>
      <c r="F41" s="62"/>
      <c r="G41" s="62"/>
      <c r="H41" s="62"/>
      <c r="I41" s="60"/>
      <c r="J41" s="60"/>
      <c r="K41" s="60"/>
      <c r="L41" s="60"/>
      <c r="M41" s="10"/>
      <c r="N41" s="10"/>
    </row>
    <row r="42" spans="2:14" x14ac:dyDescent="0.2">
      <c r="B42" s="60"/>
      <c r="C42" s="60"/>
      <c r="D42" s="61"/>
      <c r="E42" s="62"/>
      <c r="F42" s="62"/>
      <c r="G42" s="62"/>
      <c r="H42" s="62"/>
      <c r="I42" s="60"/>
      <c r="J42" s="60"/>
      <c r="K42" s="60"/>
      <c r="L42" s="60"/>
      <c r="M42" s="10"/>
      <c r="N42" s="10"/>
    </row>
    <row r="43" spans="2:14" x14ac:dyDescent="0.2">
      <c r="B43" s="60"/>
      <c r="C43" s="60"/>
      <c r="D43" s="61"/>
      <c r="E43" s="62"/>
      <c r="F43" s="62"/>
      <c r="G43" s="62"/>
      <c r="H43" s="62"/>
      <c r="I43" s="60"/>
      <c r="J43" s="60"/>
      <c r="K43" s="60"/>
      <c r="L43" s="60"/>
      <c r="M43" s="10"/>
      <c r="N43" s="10"/>
    </row>
    <row r="44" spans="2:14" x14ac:dyDescent="0.2">
      <c r="B44" s="60"/>
      <c r="C44" s="60"/>
      <c r="D44" s="61"/>
      <c r="E44" s="62"/>
      <c r="F44" s="62"/>
      <c r="G44" s="62"/>
      <c r="H44" s="62"/>
      <c r="I44" s="60"/>
      <c r="J44" s="60"/>
      <c r="K44" s="60"/>
      <c r="L44" s="60"/>
      <c r="M44" s="10"/>
      <c r="N44" s="10"/>
    </row>
    <row r="45" spans="2:14" x14ac:dyDescent="0.2">
      <c r="B45" s="60"/>
      <c r="C45" s="60"/>
      <c r="D45" s="61"/>
      <c r="E45" s="62"/>
      <c r="F45" s="62"/>
      <c r="G45" s="62"/>
      <c r="H45" s="62"/>
      <c r="I45" s="60"/>
      <c r="J45" s="60"/>
      <c r="K45" s="60"/>
      <c r="L45" s="60"/>
      <c r="M45" s="10"/>
      <c r="N45" s="10"/>
    </row>
    <row r="46" spans="2:14" x14ac:dyDescent="0.2">
      <c r="B46" s="60"/>
      <c r="C46" s="60"/>
      <c r="D46" s="61"/>
      <c r="E46" s="62"/>
      <c r="F46" s="62"/>
      <c r="G46" s="62"/>
      <c r="H46" s="62"/>
      <c r="I46" s="60"/>
      <c r="J46" s="60"/>
      <c r="K46" s="60"/>
      <c r="L46" s="60"/>
      <c r="M46" s="10"/>
      <c r="N46" s="10"/>
    </row>
    <row r="47" spans="2:14" x14ac:dyDescent="0.2">
      <c r="B47" s="60"/>
      <c r="C47" s="60"/>
      <c r="D47" s="61"/>
      <c r="E47" s="62"/>
      <c r="F47" s="62"/>
      <c r="G47" s="62"/>
      <c r="H47" s="62"/>
      <c r="I47" s="60"/>
      <c r="J47" s="60"/>
      <c r="K47" s="60"/>
      <c r="L47" s="60"/>
      <c r="M47" s="10"/>
      <c r="N47" s="10"/>
    </row>
    <row r="48" spans="2:14" x14ac:dyDescent="0.2">
      <c r="B48" s="60"/>
      <c r="C48" s="60"/>
      <c r="D48" s="61"/>
      <c r="E48" s="62"/>
      <c r="F48" s="62"/>
      <c r="G48" s="62"/>
      <c r="H48" s="62"/>
      <c r="I48" s="60"/>
      <c r="J48" s="60"/>
      <c r="K48" s="60"/>
      <c r="L48" s="60"/>
      <c r="M48" s="10"/>
      <c r="N48" s="10"/>
    </row>
    <row r="49" spans="2:14" x14ac:dyDescent="0.2">
      <c r="B49" s="10"/>
      <c r="C49" s="10"/>
      <c r="D49" s="10"/>
      <c r="E49" s="10"/>
      <c r="F49" s="10"/>
      <c r="G49" s="10"/>
      <c r="H49" s="10"/>
      <c r="I49" s="10"/>
      <c r="J49" s="10"/>
      <c r="K49" s="10"/>
      <c r="L49" s="10"/>
      <c r="M49" s="10"/>
      <c r="N49" s="10"/>
    </row>
    <row r="50" spans="2:14" x14ac:dyDescent="0.2">
      <c r="B50" s="10"/>
      <c r="C50" s="10"/>
      <c r="D50" s="10"/>
      <c r="E50" s="10"/>
      <c r="F50" s="10"/>
      <c r="G50" s="10"/>
      <c r="H50" s="10"/>
      <c r="I50" s="10"/>
      <c r="J50" s="10"/>
      <c r="K50" s="10"/>
      <c r="L50" s="10"/>
      <c r="M50" s="10"/>
      <c r="N50" s="10"/>
    </row>
  </sheetData>
  <mergeCells count="11">
    <mergeCell ref="B10:L10"/>
    <mergeCell ref="B30:D30"/>
    <mergeCell ref="B31:D31"/>
    <mergeCell ref="B32:D32"/>
    <mergeCell ref="B2:M2"/>
    <mergeCell ref="B4:F4"/>
    <mergeCell ref="B5:E5"/>
    <mergeCell ref="B6:E6"/>
    <mergeCell ref="B7:E7"/>
    <mergeCell ref="B8:E8"/>
    <mergeCell ref="B29:D29"/>
  </mergeCells>
  <conditionalFormatting sqref="I12:L28 I30:L32">
    <cfRule type="cellIs" dxfId="11" priority="4" operator="lessThan">
      <formula>1</formula>
    </cfRule>
    <cfRule type="cellIs" dxfId="10" priority="5" operator="greaterThan">
      <formula>1</formula>
    </cfRule>
    <cfRule type="cellIs" dxfId="9" priority="6" operator="equal">
      <formula>1</formula>
    </cfRule>
  </conditionalFormatting>
  <conditionalFormatting sqref="I29:L29">
    <cfRule type="cellIs" dxfId="8" priority="1" operator="lessThan">
      <formula>1</formula>
    </cfRule>
    <cfRule type="cellIs" dxfId="7" priority="2" operator="greaterThan">
      <formula>1</formula>
    </cfRule>
    <cfRule type="cellIs" dxfId="6" priority="3" operator="equal">
      <formula>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43</vt:i4>
      </vt:variant>
    </vt:vector>
  </HeadingPairs>
  <TitlesOfParts>
    <vt:vector size="58" baseType="lpstr">
      <vt:lpstr> Introduction</vt:lpstr>
      <vt:lpstr>Instructions</vt:lpstr>
      <vt:lpstr>C_User_Input</vt:lpstr>
      <vt:lpstr>P_User_Input</vt:lpstr>
      <vt:lpstr>C+P_Output_Summary</vt:lpstr>
      <vt:lpstr>C_Output_Summary</vt:lpstr>
      <vt:lpstr>P_Output_Summary</vt:lpstr>
      <vt:lpstr>C+P_Output_DE marinas</vt:lpstr>
      <vt:lpstr>C_Output_DE marinas</vt:lpstr>
      <vt:lpstr>P_Output_DE marinas</vt:lpstr>
      <vt:lpstr>C+P_DE Marinas_Scenario_Cal</vt:lpstr>
      <vt:lpstr>C_DE Marinas_Scenario_Calc</vt:lpstr>
      <vt:lpstr>P_DE Marinas_Scenario_Calc</vt:lpstr>
      <vt:lpstr>Copper_Input</vt:lpstr>
      <vt:lpstr>Pyrithione_Input</vt:lpstr>
      <vt:lpstr>'C_DE Marinas_Scenario_Calc'!Application_Conversion_Factor</vt:lpstr>
      <vt:lpstr>Application_Conversion_Factor</vt:lpstr>
      <vt:lpstr>Application_Factor</vt:lpstr>
      <vt:lpstr>C_a</vt:lpstr>
      <vt:lpstr>C_Average_biocide_release_over_the_lifetime_of_the_paint_C</vt:lpstr>
      <vt:lpstr>C_Average_biocide_release_over_the_lifetime_of_the_paint_M</vt:lpstr>
      <vt:lpstr>C_Background_Sed_Freshwater</vt:lpstr>
      <vt:lpstr>C_Background_SW_Freshwater</vt:lpstr>
      <vt:lpstr>C_Compound_Name</vt:lpstr>
      <vt:lpstr>C_DFT</vt:lpstr>
      <vt:lpstr>C_La</vt:lpstr>
      <vt:lpstr>'C_DE Marinas_Scenario_Calc'!C_Leaching_Conversion_Factor</vt:lpstr>
      <vt:lpstr>C_Mrel</vt:lpstr>
      <vt:lpstr>C_PNEC_Aquatic_Inside</vt:lpstr>
      <vt:lpstr>C_PNEC_Aquatic_Surrounding</vt:lpstr>
      <vt:lpstr>C_PNEC_Sediment_Inside</vt:lpstr>
      <vt:lpstr>C_PNEC_Sediment_Surrounding</vt:lpstr>
      <vt:lpstr>C_t</vt:lpstr>
      <vt:lpstr>C_VS</vt:lpstr>
      <vt:lpstr>C_ƿ</vt:lpstr>
      <vt:lpstr>C_Wa</vt:lpstr>
      <vt:lpstr>P_User_Input!P_a</vt:lpstr>
      <vt:lpstr>P_Average_biocide_release_over_the_lifetime_of_the_paint_C</vt:lpstr>
      <vt:lpstr>P_Average_biocide_release_over_the_lifetime_of_the_paint_M</vt:lpstr>
      <vt:lpstr>P_Background_Sed_Freshwater</vt:lpstr>
      <vt:lpstr>P_Background_SW_Freshwater</vt:lpstr>
      <vt:lpstr>P_Compound_Name</vt:lpstr>
      <vt:lpstr>P_User_Input!P_DFT</vt:lpstr>
      <vt:lpstr>P_User_Input!P_La</vt:lpstr>
      <vt:lpstr>'P_DE Marinas_Scenario_Calc'!P_Leaching_Conversion_Factor</vt:lpstr>
      <vt:lpstr>P_User_Input!P_Mrel</vt:lpstr>
      <vt:lpstr>P_PNEC_Aquatic_Inside</vt:lpstr>
      <vt:lpstr>P_PNEC_Aquatic_Surrounding</vt:lpstr>
      <vt:lpstr>P_PNEC_Sediment_Inside</vt:lpstr>
      <vt:lpstr>P_PNEC_Sediment_Surrounding</vt:lpstr>
      <vt:lpstr>P_User_Input!P_t</vt:lpstr>
      <vt:lpstr>P_User_Input!P_VS</vt:lpstr>
      <vt:lpstr>P_User_Input!P_ƿ</vt:lpstr>
      <vt:lpstr>P_User_Input!P_Wa</vt:lpstr>
      <vt:lpstr>Substance</vt:lpstr>
      <vt:lpstr>Tooltype</vt:lpstr>
      <vt:lpstr>Version</vt:lpstr>
      <vt:lpstr>'C_DE Marinas_Scenario_Calc'!WSA_OECD_default</vt:lpstr>
    </vt:vector>
  </TitlesOfParts>
  <Company>Health and Safety Executive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Name</dc:creator>
  <cp:lastModifiedBy>Setzer, Sascha</cp:lastModifiedBy>
  <dcterms:created xsi:type="dcterms:W3CDTF">2016-11-10T11:47:25Z</dcterms:created>
  <dcterms:modified xsi:type="dcterms:W3CDTF">2020-06-19T10:02:54Z</dcterms:modified>
</cp:coreProperties>
</file>